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GALVAN.DIPE\Desktop\IPEJAL\Evaluación de proyectos\2021 Predio el Estuche (Tapalpa)\"/>
    </mc:Choice>
  </mc:AlternateContent>
  <bookViews>
    <workbookView xWindow="0" yWindow="0" windowWidth="23040" windowHeight="9408" firstSheet="3" activeTab="6"/>
  </bookViews>
  <sheets>
    <sheet name="Antecedentes" sheetId="1" r:id="rId1"/>
    <sheet name="Propuestas" sheetId="2" r:id="rId2"/>
    <sheet name="Comparativa de Propuestas" sheetId="4" r:id="rId3"/>
    <sheet name="Análisis Pago contado" sheetId="6" r:id="rId4"/>
    <sheet name="Análisis Pago Fraccionando" sheetId="5" r:id="rId5"/>
    <sheet name="Rendi. en Flujos de Inversión" sheetId="7" r:id="rId6"/>
    <sheet name="Concentrado" sheetId="8" r:id="rId7"/>
  </sheets>
  <definedNames>
    <definedName name="inflación">'Rendi. en Flujos de Inversión'!#REF!</definedName>
    <definedName name="millones">'Rendi. en Flujos de Inversión'!$H$7</definedName>
    <definedName name="tasareal">'Rendi. en Flujos de Inversión'!$H$8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5" l="1"/>
  <c r="F14" i="5"/>
  <c r="B15" i="5"/>
  <c r="I3" i="7"/>
  <c r="H3" i="7"/>
  <c r="G3" i="7"/>
  <c r="C5" i="8"/>
  <c r="B5" i="8"/>
  <c r="B3" i="7" l="1"/>
  <c r="E3" i="7"/>
  <c r="C15" i="5"/>
  <c r="E15" i="5" s="1"/>
  <c r="C14" i="5"/>
  <c r="J3" i="5"/>
  <c r="K3" i="5"/>
  <c r="L3" i="5"/>
  <c r="I3" i="5"/>
  <c r="C3" i="5"/>
  <c r="D3" i="5"/>
  <c r="F3" i="5" s="1"/>
  <c r="B3" i="5"/>
  <c r="B4" i="5" s="1"/>
  <c r="B7" i="5" s="1"/>
  <c r="A3" i="5"/>
  <c r="A14" i="5" s="1"/>
  <c r="B9" i="6"/>
  <c r="E16" i="6"/>
  <c r="E15" i="6"/>
  <c r="F15" i="6"/>
  <c r="F16" i="6"/>
  <c r="B16" i="6"/>
  <c r="C15" i="6"/>
  <c r="D4" i="6"/>
  <c r="D15" i="6" s="1"/>
  <c r="B4" i="6"/>
  <c r="B15" i="6" s="1"/>
  <c r="L3" i="6"/>
  <c r="K3" i="6"/>
  <c r="J3" i="6"/>
  <c r="I3" i="6"/>
  <c r="C2" i="6"/>
  <c r="C3" i="6"/>
  <c r="E3" i="6" s="1"/>
  <c r="D3" i="6"/>
  <c r="B3" i="6"/>
  <c r="A3" i="6"/>
  <c r="A15" i="6" s="1"/>
  <c r="B7" i="6"/>
  <c r="J3" i="4"/>
  <c r="I3" i="4"/>
  <c r="H3" i="4"/>
  <c r="G3" i="4"/>
  <c r="C3" i="4"/>
  <c r="E3" i="4"/>
  <c r="D3" i="4"/>
  <c r="B3" i="4"/>
  <c r="A3" i="4"/>
  <c r="E7" i="2"/>
  <c r="K13" i="2"/>
  <c r="K5" i="2"/>
  <c r="E5" i="2"/>
  <c r="E6" i="2"/>
  <c r="D3" i="2"/>
  <c r="J3" i="2" s="1"/>
  <c r="D3" i="1"/>
  <c r="D4" i="5" l="1"/>
  <c r="B14" i="5"/>
  <c r="E3" i="5"/>
  <c r="H3" i="5" s="1"/>
  <c r="G3" i="5"/>
  <c r="F3" i="6"/>
  <c r="AX7" i="6"/>
  <c r="B8" i="6" s="1"/>
  <c r="J3" i="7" l="1"/>
  <c r="K3" i="7" s="1"/>
  <c r="L3" i="7" s="1"/>
  <c r="M3" i="7" s="1"/>
  <c r="N3" i="7" s="1"/>
  <c r="O3" i="7" s="1"/>
  <c r="P3" i="7" s="1"/>
  <c r="Q3" i="7" s="1"/>
  <c r="R3" i="7" s="1"/>
  <c r="S3" i="7" s="1"/>
  <c r="T3" i="7" s="1"/>
  <c r="U3" i="7" s="1"/>
  <c r="V3" i="7" s="1"/>
  <c r="W3" i="7" s="1"/>
  <c r="X3" i="7" s="1"/>
  <c r="Y3" i="7" s="1"/>
  <c r="Z3" i="7" s="1"/>
  <c r="AA3" i="7" s="1"/>
  <c r="AB3" i="7" s="1"/>
  <c r="AC3" i="7" s="1"/>
  <c r="AD3" i="7" s="1"/>
  <c r="AE3" i="7" s="1"/>
  <c r="AF3" i="7" s="1"/>
  <c r="AG3" i="7" s="1"/>
  <c r="AH3" i="7" s="1"/>
  <c r="AI3" i="7" s="1"/>
  <c r="AJ3" i="7" s="1"/>
  <c r="AK3" i="7" s="1"/>
  <c r="AL3" i="7" s="1"/>
  <c r="AM3" i="7" s="1"/>
  <c r="AN3" i="7" s="1"/>
  <c r="AO3" i="7" s="1"/>
  <c r="AP3" i="7" s="1"/>
  <c r="AQ3" i="7" s="1"/>
  <c r="AR3" i="7" s="1"/>
  <c r="AS3" i="7" s="1"/>
  <c r="AT3" i="7" s="1"/>
  <c r="AU3" i="7" s="1"/>
  <c r="AV3" i="7" s="1"/>
  <c r="AW3" i="7" s="1"/>
  <c r="AX3" i="7" s="1"/>
  <c r="AY3" i="7" s="1"/>
  <c r="AZ3" i="7" s="1"/>
  <c r="BA3" i="7" s="1"/>
  <c r="BB3" i="7" s="1"/>
  <c r="BC3" i="7" s="1"/>
  <c r="BD3" i="7" s="1"/>
  <c r="AX7" i="5"/>
  <c r="D14" i="5"/>
  <c r="H3" i="6"/>
  <c r="G3" i="6"/>
  <c r="BE3" i="7" l="1"/>
  <c r="E14" i="5"/>
  <c r="B8" i="5"/>
  <c r="B9" i="5"/>
  <c r="C3" i="7"/>
  <c r="AU2" i="7"/>
  <c r="D15" i="5"/>
  <c r="C8" i="8" s="1"/>
  <c r="C9" i="8" l="1"/>
  <c r="C7" i="8"/>
  <c r="C6" i="8"/>
  <c r="AV2" i="7"/>
  <c r="F3" i="7"/>
  <c r="AW2" i="7" l="1"/>
  <c r="AX2" i="7" s="1"/>
  <c r="AY2" i="7" l="1"/>
  <c r="AZ2" i="7" l="1"/>
  <c r="BA2" i="7" l="1"/>
  <c r="BB2" i="7" l="1"/>
  <c r="BC2" i="7" l="1"/>
  <c r="BE5" i="7" l="1"/>
  <c r="B3" i="8" s="1"/>
  <c r="D16" i="6"/>
  <c r="C16" i="6"/>
  <c r="M4" i="6"/>
  <c r="E4" i="4"/>
  <c r="D4" i="4"/>
  <c r="K3" i="4"/>
  <c r="F3" i="4"/>
  <c r="B4" i="1"/>
  <c r="B2" i="8" s="1"/>
  <c r="G4" i="1"/>
  <c r="C4" i="1"/>
  <c r="F3" i="1" l="1"/>
  <c r="F4" i="4"/>
  <c r="B8" i="8"/>
  <c r="B6" i="8"/>
  <c r="B7" i="8"/>
  <c r="B9" i="8"/>
  <c r="D4" i="1"/>
  <c r="E3" i="1" l="1"/>
  <c r="E4" i="1" l="1"/>
</calcChain>
</file>

<file path=xl/sharedStrings.xml><?xml version="1.0" encoding="utf-8"?>
<sst xmlns="http://schemas.openxmlformats.org/spreadsheetml/2006/main" count="146" uniqueCount="95">
  <si>
    <t>Terreno:</t>
  </si>
  <si>
    <t>Precio de compra</t>
  </si>
  <si>
    <t>Valor Catastral</t>
  </si>
  <si>
    <r>
      <t>M</t>
    </r>
    <r>
      <rPr>
        <b/>
        <sz val="11"/>
        <color theme="1"/>
        <rFont val="Calibri"/>
        <family val="2"/>
      </rPr>
      <t>²</t>
    </r>
  </si>
  <si>
    <t>Proporción</t>
  </si>
  <si>
    <r>
      <t>Precio M</t>
    </r>
    <r>
      <rPr>
        <b/>
        <sz val="11"/>
        <color theme="1"/>
        <rFont val="Calibri"/>
        <family val="2"/>
      </rPr>
      <t>²
ponderado Compra</t>
    </r>
  </si>
  <si>
    <r>
      <t>Precio M</t>
    </r>
    <r>
      <rPr>
        <b/>
        <sz val="11"/>
        <color theme="1"/>
        <rFont val="Calibri"/>
        <family val="2"/>
      </rPr>
      <t>²
Compra</t>
    </r>
  </si>
  <si>
    <t>Totales</t>
  </si>
  <si>
    <t>Fecha de
Adquisición</t>
  </si>
  <si>
    <t>Propuesta de
 Venta</t>
  </si>
  <si>
    <t>Años</t>
  </si>
  <si>
    <t>Meses</t>
  </si>
  <si>
    <t>Días</t>
  </si>
  <si>
    <t>Tiempo Transcurrido de Adquisición</t>
  </si>
  <si>
    <t>Precio M²
de Compra</t>
  </si>
  <si>
    <t>Precio M² 
de Venta</t>
  </si>
  <si>
    <t>Precio M² 
de Venta
(Contado)</t>
  </si>
  <si>
    <t>Precio M² 
de Venta
(Fraccionado)</t>
  </si>
  <si>
    <t>Tiempo 
Transcurrido 
de Adquisición</t>
  </si>
  <si>
    <t>Precio 
de compra</t>
  </si>
  <si>
    <t>% de Utilidad
(Compra a Venta)</t>
  </si>
  <si>
    <t>Análisis Comparativa de propuestas</t>
  </si>
  <si>
    <t>TIR</t>
  </si>
  <si>
    <t>VPN</t>
  </si>
  <si>
    <t>Inflación</t>
  </si>
  <si>
    <t>Año</t>
  </si>
  <si>
    <t>FLUJOS</t>
  </si>
  <si>
    <t>COMPARATIVA DE VALOR DE ADQUISICIÓN, VALOR CATASTRAL Y PROPUESTA PAGO DE CONTADO</t>
  </si>
  <si>
    <t>APORTACIONES</t>
  </si>
  <si>
    <t>RENDIMIENTO</t>
  </si>
  <si>
    <t>#</t>
  </si>
  <si>
    <t>Fecha Aportación</t>
  </si>
  <si>
    <t>Importe de Aportación</t>
  </si>
  <si>
    <t>Acumulado Aportación</t>
  </si>
  <si>
    <t>Interés + Capital</t>
  </si>
  <si>
    <t>*</t>
  </si>
  <si>
    <t>* Encuesta sobre las Expectativas de los Especialistas en Economía del Sector Privado:
Junio de 2021</t>
  </si>
  <si>
    <t>Millones</t>
  </si>
  <si>
    <t>Tasa Real</t>
  </si>
  <si>
    <t xml:space="preserve">DESCRIPCION </t>
  </si>
  <si>
    <t>Liga para la justificación y manera de evaluar a tasa de descuento para el sector público.</t>
  </si>
  <si>
    <t>https://www.gob.mx/shcp/documentos/tasa-social-de-descuento-tsd</t>
  </si>
  <si>
    <t>Manera de Decisión</t>
  </si>
  <si>
    <t>1. Si el valor presente neto es positivo la tasa elegida generará Riquezas.</t>
  </si>
  <si>
    <t>2. Si el valor presente neto es igual a cero el proyecto no generará Riquezas ni perdidas, por lo que su realización resultará indiferente.</t>
  </si>
  <si>
    <t>3. Si el valor presente neto es negativo, el proyecto de inversión generará perdidas, por lo que deberá ser rechazado.</t>
  </si>
  <si>
    <t xml:space="preserve">Ingresos totales de negociación </t>
  </si>
  <si>
    <t>Pago Fraccionado</t>
  </si>
  <si>
    <t>Ganancia o perdida sobre VALOR CATASTRAL</t>
  </si>
  <si>
    <t>Porcentaje de ganancia o perdida sobre VALOR CATASTRAL</t>
  </si>
  <si>
    <t>Inversión Inicial</t>
  </si>
  <si>
    <t>COMPARATIVA DE VALOR DE ADQUISICIÓN, VALOR CATASTRAL Y PROPUESTA PAGO FRACCIONANDO</t>
  </si>
  <si>
    <t>Nota: la tasa de descuento para el VPN esta calculada con el 8.6%.</t>
  </si>
  <si>
    <t xml:space="preserve">Análisis Propuesta Uno </t>
  </si>
  <si>
    <t>Déficit o
 Superávit</t>
  </si>
  <si>
    <t>Déficit o 
Superávit
(Catastro a Venta)</t>
  </si>
  <si>
    <t>Déficit o 
Superávit
(Adquisición a Venta)</t>
  </si>
  <si>
    <t>Análisis Propuesta Dos</t>
  </si>
  <si>
    <t>Déficit o Superávit</t>
  </si>
  <si>
    <t>Propuesta de
 Venta
(Contado)</t>
  </si>
  <si>
    <t>Propuesta de
 Venta (Fraccionado)</t>
  </si>
  <si>
    <t>Precios de Adquisición (Parcelas en Querétaro)</t>
  </si>
  <si>
    <t>Diferencia en Pesos
(Frac. Y Contado)</t>
  </si>
  <si>
    <t>% Diferencia 
entre
(Frac. Y Contado)</t>
  </si>
  <si>
    <t>Diferencia
(Pago Fraccionado menos Pago de contado)</t>
  </si>
  <si>
    <t>Pago de Contado</t>
  </si>
  <si>
    <t>PROPUESTA UNO (Renta a opción Compra)</t>
  </si>
  <si>
    <t>Características</t>
  </si>
  <si>
    <t>Renta:</t>
  </si>
  <si>
    <t>12 meses</t>
  </si>
  <si>
    <t>Compra:</t>
  </si>
  <si>
    <t>Tiempo</t>
  </si>
  <si>
    <t>Un año</t>
  </si>
  <si>
    <t>Total de ingreso</t>
  </si>
  <si>
    <r>
      <t>m</t>
    </r>
    <r>
      <rPr>
        <sz val="11"/>
        <color theme="1"/>
        <rFont val="Calibri"/>
        <family val="2"/>
      </rPr>
      <t>²</t>
    </r>
  </si>
  <si>
    <t>10 de Noviembre de 2020</t>
  </si>
  <si>
    <t>Fecha</t>
  </si>
  <si>
    <t>PROPUESTA DOS (Renta a opción Compra)</t>
  </si>
  <si>
    <t>Pago 1</t>
  </si>
  <si>
    <t>Pago 2</t>
  </si>
  <si>
    <t>Pago 3</t>
  </si>
  <si>
    <t>Pago 4</t>
  </si>
  <si>
    <t>Pago 6</t>
  </si>
  <si>
    <t>Pago 5</t>
  </si>
  <si>
    <t>24 de Mayo de 2021</t>
  </si>
  <si>
    <t>Total</t>
  </si>
  <si>
    <t>Junio</t>
  </si>
  <si>
    <t>Julio</t>
  </si>
  <si>
    <t>Agosto</t>
  </si>
  <si>
    <t>Septiembre</t>
  </si>
  <si>
    <t>Octubre</t>
  </si>
  <si>
    <t>Noviembre</t>
  </si>
  <si>
    <t>Precio Hectárea</t>
  </si>
  <si>
    <t>Predio El estuche Tapalpa</t>
  </si>
  <si>
    <t>Ingresos totales en inversión a (TASA REAL DEL 3%)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</si>
</sst>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0.0%"/>
    <numFmt numFmtId="166" formatCode="dd\-mm\-yy;@"/>
    <numFmt numFmtId="167" formatCode="0.00;[Red]0.00"/>
    <numFmt numFmtId="172" formatCode="[$-80A]d&quot; de &quot;mmmm&quot; de &quot;yyyy;@"/>
    <numFmt numFmtId="174" formatCode="0;[Red]0"/>
    <numFmt numFmtId="175" formatCode="_-&quot;$&quot;* #,##0.000_-;\-&quot;$&quot;* #,##0.000_-;_-&quot;$&quot;* &quot;-&quot;??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Arial"/>
      <family val="2"/>
    </font>
    <font>
      <b/>
      <i/>
      <u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49998474074526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234">
    <xf numFmtId="0" fontId="0" fillId="0" borderId="0" xfId="0"/>
    <xf numFmtId="10" fontId="0" fillId="2" borderId="4" xfId="3" applyNumberFormat="1" applyFont="1" applyFill="1" applyBorder="1"/>
    <xf numFmtId="10" fontId="0" fillId="2" borderId="10" xfId="3" applyNumberFormat="1" applyFont="1" applyFill="1" applyBorder="1"/>
    <xf numFmtId="43" fontId="3" fillId="2" borderId="12" xfId="1" applyNumberFormat="1" applyFont="1" applyFill="1" applyBorder="1"/>
    <xf numFmtId="0" fontId="0" fillId="0" borderId="4" xfId="0" applyBorder="1"/>
    <xf numFmtId="0" fontId="0" fillId="0" borderId="0" xfId="0" applyBorder="1" applyAlignment="1">
      <alignment horizontal="right"/>
    </xf>
    <xf numFmtId="0" fontId="0" fillId="0" borderId="6" xfId="0" applyBorder="1"/>
    <xf numFmtId="44" fontId="0" fillId="0" borderId="9" xfId="2" applyFont="1" applyBorder="1"/>
    <xf numFmtId="44" fontId="0" fillId="0" borderId="7" xfId="2" applyFont="1" applyBorder="1"/>
    <xf numFmtId="0" fontId="0" fillId="0" borderId="8" xfId="0" applyBorder="1"/>
    <xf numFmtId="0" fontId="3" fillId="0" borderId="0" xfId="0" applyFo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2" xfId="0" applyFill="1" applyBorder="1"/>
    <xf numFmtId="44" fontId="0" fillId="0" borderId="4" xfId="2" applyFont="1" applyFill="1" applyBorder="1"/>
    <xf numFmtId="0" fontId="0" fillId="0" borderId="13" xfId="0" applyFill="1" applyBorder="1"/>
    <xf numFmtId="0" fontId="0" fillId="4" borderId="2" xfId="0" applyFill="1" applyBorder="1"/>
    <xf numFmtId="44" fontId="0" fillId="4" borderId="4" xfId="2" applyFont="1" applyFill="1" applyBorder="1"/>
    <xf numFmtId="44" fontId="0" fillId="4" borderId="0" xfId="2" applyFont="1" applyFill="1" applyBorder="1"/>
    <xf numFmtId="44" fontId="0" fillId="4" borderId="5" xfId="2" applyFont="1" applyFill="1" applyBorder="1"/>
    <xf numFmtId="0" fontId="3" fillId="4" borderId="1" xfId="0" applyFont="1" applyFill="1" applyBorder="1" applyAlignment="1">
      <alignment horizontal="right"/>
    </xf>
    <xf numFmtId="44" fontId="7" fillId="4" borderId="10" xfId="2" applyFont="1" applyFill="1" applyBorder="1"/>
    <xf numFmtId="44" fontId="7" fillId="4" borderId="11" xfId="2" applyFont="1" applyFill="1" applyBorder="1"/>
    <xf numFmtId="44" fontId="3" fillId="4" borderId="11" xfId="2" applyFont="1" applyFill="1" applyBorder="1"/>
    <xf numFmtId="44" fontId="3" fillId="4" borderId="12" xfId="2" applyFont="1" applyFill="1" applyBorder="1"/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4" fontId="0" fillId="0" borderId="8" xfId="0" applyNumberFormat="1" applyBorder="1"/>
    <xf numFmtId="44" fontId="0" fillId="0" borderId="0" xfId="0" applyNumberFormat="1" applyBorder="1"/>
    <xf numFmtId="44" fontId="0" fillId="0" borderId="9" xfId="0" applyNumberFormat="1" applyBorder="1"/>
    <xf numFmtId="44" fontId="0" fillId="0" borderId="2" xfId="2" applyFont="1" applyFill="1" applyBorder="1"/>
    <xf numFmtId="0" fontId="3" fillId="2" borderId="11" xfId="0" applyFont="1" applyFill="1" applyBorder="1" applyAlignment="1">
      <alignment horizontal="center" vertical="center" wrapText="1"/>
    </xf>
    <xf numFmtId="2" fontId="0" fillId="0" borderId="0" xfId="0" applyNumberFormat="1"/>
    <xf numFmtId="43" fontId="0" fillId="2" borderId="0" xfId="1" applyNumberFormat="1" applyFont="1" applyFill="1" applyBorder="1"/>
    <xf numFmtId="0" fontId="3" fillId="0" borderId="1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44" fontId="0" fillId="0" borderId="0" xfId="2" applyFont="1" applyBorder="1"/>
    <xf numFmtId="0" fontId="0" fillId="0" borderId="4" xfId="0" applyFill="1" applyBorder="1"/>
    <xf numFmtId="0" fontId="0" fillId="0" borderId="0" xfId="0" applyBorder="1"/>
    <xf numFmtId="0" fontId="3" fillId="7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right"/>
    </xf>
    <xf numFmtId="44" fontId="3" fillId="0" borderId="11" xfId="0" applyNumberFormat="1" applyFont="1" applyBorder="1"/>
    <xf numFmtId="44" fontId="3" fillId="0" borderId="12" xfId="0" applyNumberFormat="1" applyFont="1" applyBorder="1"/>
    <xf numFmtId="44" fontId="3" fillId="0" borderId="10" xfId="2" applyFont="1" applyFill="1" applyBorder="1"/>
    <xf numFmtId="0" fontId="3" fillId="2" borderId="9" xfId="0" applyFont="1" applyFill="1" applyBorder="1" applyAlignment="1">
      <alignment horizontal="center" vertical="center" wrapText="1"/>
    </xf>
    <xf numFmtId="0" fontId="3" fillId="7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44" fontId="0" fillId="3" borderId="14" xfId="2" applyFont="1" applyFill="1" applyBorder="1"/>
    <xf numFmtId="44" fontId="3" fillId="0" borderId="6" xfId="2" applyFont="1" applyFill="1" applyBorder="1"/>
    <xf numFmtId="44" fontId="3" fillId="0" borderId="7" xfId="0" applyNumberFormat="1" applyFont="1" applyBorder="1"/>
    <xf numFmtId="44" fontId="3" fillId="3" borderId="1" xfId="2" applyFont="1" applyFill="1" applyBorder="1"/>
    <xf numFmtId="9" fontId="0" fillId="0" borderId="13" xfId="3" applyFont="1" applyBorder="1"/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" xfId="0" applyFont="1" applyBorder="1"/>
    <xf numFmtId="0" fontId="7" fillId="7" borderId="2" xfId="0" applyFont="1" applyFill="1" applyBorder="1"/>
    <xf numFmtId="0" fontId="7" fillId="7" borderId="6" xfId="0" applyFont="1" applyFill="1" applyBorder="1"/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/>
    <xf numFmtId="44" fontId="3" fillId="0" borderId="9" xfId="2" applyFont="1" applyBorder="1"/>
    <xf numFmtId="9" fontId="3" fillId="2" borderId="1" xfId="3" applyFont="1" applyFill="1" applyBorder="1"/>
    <xf numFmtId="10" fontId="9" fillId="0" borderId="14" xfId="3" applyNumberFormat="1" applyFont="1" applyBorder="1"/>
    <xf numFmtId="10" fontId="10" fillId="0" borderId="1" xfId="3" applyNumberFormat="1" applyFont="1" applyBorder="1"/>
    <xf numFmtId="0" fontId="2" fillId="9" borderId="10" xfId="0" applyFont="1" applyFill="1" applyBorder="1" applyAlignment="1">
      <alignment horizontal="center"/>
    </xf>
    <xf numFmtId="0" fontId="2" fillId="9" borderId="11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2" fillId="3" borderId="12" xfId="0" applyFont="1" applyFill="1" applyBorder="1"/>
    <xf numFmtId="0" fontId="0" fillId="0" borderId="4" xfId="0" applyBorder="1" applyAlignment="1">
      <alignment horizontal="center"/>
    </xf>
    <xf numFmtId="15" fontId="0" fillId="0" borderId="0" xfId="0" applyNumberFormat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44" fontId="0" fillId="0" borderId="5" xfId="2" applyFont="1" applyBorder="1"/>
    <xf numFmtId="0" fontId="0" fillId="0" borderId="6" xfId="0" applyBorder="1" applyAlignment="1">
      <alignment horizontal="center"/>
    </xf>
    <xf numFmtId="15" fontId="0" fillId="0" borderId="9" xfId="0" applyNumberFormat="1" applyBorder="1" applyAlignment="1">
      <alignment horizontal="center"/>
    </xf>
    <xf numFmtId="0" fontId="0" fillId="0" borderId="9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7" fillId="0" borderId="0" xfId="0" applyFont="1" applyBorder="1"/>
    <xf numFmtId="0" fontId="7" fillId="0" borderId="0" xfId="0" applyFont="1" applyBorder="1" applyAlignment="1">
      <alignment horizontal="left"/>
    </xf>
    <xf numFmtId="0" fontId="7" fillId="8" borderId="0" xfId="0" applyFont="1" applyFill="1" applyBorder="1" applyAlignment="1">
      <alignment horizontal="left"/>
    </xf>
    <xf numFmtId="0" fontId="11" fillId="0" borderId="0" xfId="4"/>
    <xf numFmtId="0" fontId="12" fillId="3" borderId="0" xfId="0" applyFont="1" applyFill="1" applyBorder="1" applyAlignment="1">
      <alignment horizontal="left" wrapText="1"/>
    </xf>
    <xf numFmtId="0" fontId="0" fillId="3" borderId="0" xfId="0" applyFill="1"/>
    <xf numFmtId="0" fontId="13" fillId="0" borderId="0" xfId="0" applyFont="1"/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14" fillId="7" borderId="2" xfId="0" applyFont="1" applyFill="1" applyBorder="1"/>
    <xf numFmtId="10" fontId="14" fillId="7" borderId="5" xfId="0" applyNumberFormat="1" applyFont="1" applyFill="1" applyBorder="1"/>
    <xf numFmtId="0" fontId="14" fillId="7" borderId="6" xfId="0" applyFont="1" applyFill="1" applyBorder="1"/>
    <xf numFmtId="8" fontId="14" fillId="7" borderId="7" xfId="0" applyNumberFormat="1" applyFont="1" applyFill="1" applyBorder="1"/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44" fontId="0" fillId="0" borderId="4" xfId="0" applyNumberFormat="1" applyBorder="1"/>
    <xf numFmtId="44" fontId="0" fillId="0" borderId="5" xfId="0" applyNumberFormat="1" applyBorder="1"/>
    <xf numFmtId="44" fontId="3" fillId="0" borderId="10" xfId="0" applyNumberFormat="1" applyFont="1" applyBorder="1"/>
    <xf numFmtId="0" fontId="7" fillId="0" borderId="0" xfId="0" applyFont="1" applyFill="1" applyBorder="1"/>
    <xf numFmtId="8" fontId="7" fillId="0" borderId="0" xfId="0" applyNumberFormat="1" applyFont="1" applyFill="1" applyBorder="1"/>
    <xf numFmtId="0" fontId="0" fillId="0" borderId="0" xfId="0" applyFill="1"/>
    <xf numFmtId="0" fontId="17" fillId="0" borderId="0" xfId="0" applyFont="1"/>
    <xf numFmtId="0" fontId="3" fillId="0" borderId="2" xfId="0" applyFont="1" applyBorder="1"/>
    <xf numFmtId="0" fontId="3" fillId="0" borderId="6" xfId="0" applyFont="1" applyBorder="1" applyAlignment="1">
      <alignment wrapText="1"/>
    </xf>
    <xf numFmtId="0" fontId="3" fillId="0" borderId="2" xfId="0" applyFont="1" applyBorder="1" applyAlignment="1">
      <alignment wrapText="1"/>
    </xf>
    <xf numFmtId="44" fontId="3" fillId="0" borderId="13" xfId="2" applyFont="1" applyBorder="1" applyAlignment="1">
      <alignment vertical="center"/>
    </xf>
    <xf numFmtId="0" fontId="3" fillId="0" borderId="4" xfId="0" applyFont="1" applyBorder="1" applyAlignment="1">
      <alignment wrapText="1"/>
    </xf>
    <xf numFmtId="10" fontId="3" fillId="0" borderId="14" xfId="3" applyNumberFormat="1" applyFont="1" applyBorder="1"/>
    <xf numFmtId="0" fontId="3" fillId="0" borderId="4" xfId="0" applyFont="1" applyBorder="1"/>
    <xf numFmtId="44" fontId="8" fillId="0" borderId="14" xfId="2" applyFont="1" applyBorder="1"/>
    <xf numFmtId="44" fontId="3" fillId="0" borderId="14" xfId="2" applyFont="1" applyBorder="1"/>
    <xf numFmtId="0" fontId="3" fillId="0" borderId="6" xfId="0" applyFont="1" applyBorder="1"/>
    <xf numFmtId="10" fontId="3" fillId="0" borderId="15" xfId="3" applyNumberFormat="1" applyFont="1" applyBorder="1"/>
    <xf numFmtId="0" fontId="5" fillId="0" borderId="13" xfId="0" applyFont="1" applyBorder="1" applyAlignment="1">
      <alignment horizontal="center" vertical="center"/>
    </xf>
    <xf numFmtId="0" fontId="16" fillId="5" borderId="10" xfId="0" applyFont="1" applyFill="1" applyBorder="1" applyAlignment="1">
      <alignment horizontal="center"/>
    </xf>
    <xf numFmtId="0" fontId="16" fillId="5" borderId="11" xfId="0" applyFont="1" applyFill="1" applyBorder="1" applyAlignment="1">
      <alignment horizontal="center"/>
    </xf>
    <xf numFmtId="0" fontId="16" fillId="5" borderId="12" xfId="0" applyFont="1" applyFill="1" applyBorder="1" applyAlignment="1">
      <alignment horizontal="center"/>
    </xf>
    <xf numFmtId="0" fontId="15" fillId="5" borderId="10" xfId="0" applyFont="1" applyFill="1" applyBorder="1" applyAlignment="1">
      <alignment horizontal="center"/>
    </xf>
    <xf numFmtId="0" fontId="15" fillId="5" borderId="11" xfId="0" applyFont="1" applyFill="1" applyBorder="1" applyAlignment="1">
      <alignment horizontal="center"/>
    </xf>
    <xf numFmtId="0" fontId="15" fillId="5" borderId="12" xfId="0" applyFont="1" applyFill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164" fontId="7" fillId="0" borderId="0" xfId="1" applyNumberFormat="1" applyFont="1" applyBorder="1" applyAlignment="1">
      <alignment horizontal="center"/>
    </xf>
    <xf numFmtId="10" fontId="7" fillId="8" borderId="0" xfId="0" applyNumberFormat="1" applyFont="1" applyFill="1" applyBorder="1" applyAlignment="1">
      <alignment horizontal="right"/>
    </xf>
    <xf numFmtId="0" fontId="5" fillId="7" borderId="10" xfId="0" applyFont="1" applyFill="1" applyBorder="1" applyAlignment="1">
      <alignment horizontal="center"/>
    </xf>
    <xf numFmtId="0" fontId="5" fillId="7" borderId="11" xfId="0" applyFont="1" applyFill="1" applyBorder="1" applyAlignment="1">
      <alignment horizontal="center"/>
    </xf>
    <xf numFmtId="0" fontId="5" fillId="7" borderId="12" xfId="0" applyFont="1" applyFill="1" applyBorder="1" applyAlignment="1">
      <alignment horizontal="center"/>
    </xf>
    <xf numFmtId="44" fontId="3" fillId="0" borderId="8" xfId="2" applyFont="1" applyBorder="1" applyAlignment="1">
      <alignment horizontal="center" vertical="center"/>
    </xf>
    <xf numFmtId="44" fontId="3" fillId="0" borderId="3" xfId="2" applyFont="1" applyBorder="1" applyAlignment="1">
      <alignment horizontal="center" vertical="center"/>
    </xf>
    <xf numFmtId="44" fontId="3" fillId="0" borderId="9" xfId="2" applyFont="1" applyBorder="1" applyAlignment="1">
      <alignment horizontal="center" vertical="center"/>
    </xf>
    <xf numFmtId="44" fontId="3" fillId="0" borderId="7" xfId="2" applyFont="1" applyBorder="1" applyAlignment="1">
      <alignment horizontal="center" vertical="center"/>
    </xf>
    <xf numFmtId="166" fontId="0" fillId="0" borderId="1" xfId="0" applyNumberFormat="1" applyBorder="1"/>
    <xf numFmtId="44" fontId="0" fillId="0" borderId="0" xfId="2" applyFont="1" applyBorder="1" applyAlignment="1">
      <alignment horizontal="right"/>
    </xf>
    <xf numFmtId="0" fontId="15" fillId="5" borderId="4" xfId="0" applyFont="1" applyFill="1" applyBorder="1" applyAlignment="1">
      <alignment horizontal="center"/>
    </xf>
    <xf numFmtId="0" fontId="15" fillId="5" borderId="0" xfId="0" applyFont="1" applyFill="1" applyBorder="1" applyAlignment="1">
      <alignment horizontal="center"/>
    </xf>
    <xf numFmtId="0" fontId="0" fillId="0" borderId="2" xfId="0" applyBorder="1"/>
    <xf numFmtId="0" fontId="0" fillId="0" borderId="8" xfId="0" applyBorder="1" applyAlignment="1">
      <alignment horizontal="right"/>
    </xf>
    <xf numFmtId="0" fontId="0" fillId="0" borderId="10" xfId="0" applyBorder="1"/>
    <xf numFmtId="0" fontId="2" fillId="5" borderId="10" xfId="0" applyFont="1" applyFill="1" applyBorder="1" applyAlignment="1">
      <alignment horizontal="right"/>
    </xf>
    <xf numFmtId="43" fontId="2" fillId="5" borderId="11" xfId="0" applyNumberFormat="1" applyFont="1" applyFill="1" applyBorder="1" applyAlignment="1">
      <alignment horizontal="right"/>
    </xf>
    <xf numFmtId="0" fontId="0" fillId="0" borderId="4" xfId="0" applyBorder="1" applyAlignment="1">
      <alignment horizontal="right"/>
    </xf>
    <xf numFmtId="44" fontId="0" fillId="0" borderId="6" xfId="2" applyFont="1" applyBorder="1" applyAlignment="1">
      <alignment horizontal="right"/>
    </xf>
    <xf numFmtId="164" fontId="0" fillId="0" borderId="8" xfId="0" applyNumberFormat="1" applyBorder="1" applyAlignment="1">
      <alignment horizontal="right"/>
    </xf>
    <xf numFmtId="0" fontId="0" fillId="0" borderId="3" xfId="0" applyBorder="1" applyAlignment="1">
      <alignment horizontal="left"/>
    </xf>
    <xf numFmtId="0" fontId="2" fillId="5" borderId="11" xfId="0" applyFont="1" applyFill="1" applyBorder="1" applyAlignment="1">
      <alignment horizontal="right"/>
    </xf>
    <xf numFmtId="0" fontId="0" fillId="0" borderId="3" xfId="0" quotePrefix="1" applyBorder="1" applyAlignment="1">
      <alignment horizontal="center" vertical="center"/>
    </xf>
    <xf numFmtId="0" fontId="0" fillId="0" borderId="7" xfId="0" quotePrefix="1" applyBorder="1" applyAlignment="1">
      <alignment horizontal="center" vertical="center"/>
    </xf>
    <xf numFmtId="0" fontId="0" fillId="0" borderId="0" xfId="0" quotePrefix="1" applyBorder="1" applyAlignment="1">
      <alignment horizontal="center" vertical="center"/>
    </xf>
    <xf numFmtId="44" fontId="0" fillId="3" borderId="0" xfId="2" applyFont="1" applyFill="1" applyBorder="1"/>
    <xf numFmtId="0" fontId="3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right"/>
    </xf>
    <xf numFmtId="44" fontId="0" fillId="0" borderId="0" xfId="2" applyFont="1" applyFill="1" applyBorder="1"/>
    <xf numFmtId="44" fontId="3" fillId="0" borderId="0" xfId="2" applyFont="1" applyBorder="1" applyAlignment="1">
      <alignment horizontal="right"/>
    </xf>
    <xf numFmtId="44" fontId="0" fillId="0" borderId="3" xfId="2" applyFont="1" applyBorder="1"/>
    <xf numFmtId="44" fontId="3" fillId="0" borderId="10" xfId="2" applyFont="1" applyBorder="1"/>
    <xf numFmtId="44" fontId="3" fillId="0" borderId="11" xfId="2" applyFont="1" applyBorder="1"/>
    <xf numFmtId="44" fontId="3" fillId="0" borderId="12" xfId="2" applyFont="1" applyBorder="1"/>
    <xf numFmtId="44" fontId="0" fillId="0" borderId="12" xfId="0" applyNumberFormat="1" applyBorder="1"/>
    <xf numFmtId="0" fontId="3" fillId="0" borderId="10" xfId="0" applyFont="1" applyFill="1" applyBorder="1"/>
    <xf numFmtId="0" fontId="3" fillId="0" borderId="11" xfId="0" applyFont="1" applyBorder="1"/>
    <xf numFmtId="0" fontId="0" fillId="0" borderId="6" xfId="0" applyFill="1" applyBorder="1"/>
    <xf numFmtId="164" fontId="0" fillId="0" borderId="0" xfId="0" applyNumberFormat="1" applyBorder="1"/>
    <xf numFmtId="0" fontId="2" fillId="5" borderId="12" xfId="0" applyFont="1" applyFill="1" applyBorder="1" applyAlignment="1">
      <alignment horizontal="center"/>
    </xf>
    <xf numFmtId="172" fontId="0" fillId="0" borderId="0" xfId="0" applyNumberFormat="1"/>
    <xf numFmtId="44" fontId="0" fillId="2" borderId="10" xfId="0" applyNumberFormat="1" applyFill="1" applyBorder="1"/>
    <xf numFmtId="44" fontId="0" fillId="2" borderId="11" xfId="2" applyFont="1" applyFill="1" applyBorder="1"/>
    <xf numFmtId="44" fontId="0" fillId="2" borderId="12" xfId="2" applyFont="1" applyFill="1" applyBorder="1"/>
    <xf numFmtId="10" fontId="0" fillId="7" borderId="12" xfId="3" applyNumberFormat="1" applyFont="1" applyFill="1" applyBorder="1"/>
    <xf numFmtId="167" fontId="0" fillId="0" borderId="11" xfId="0" applyNumberFormat="1" applyBorder="1"/>
    <xf numFmtId="1" fontId="0" fillId="0" borderId="11" xfId="0" applyNumberFormat="1" applyBorder="1"/>
    <xf numFmtId="0" fontId="0" fillId="0" borderId="12" xfId="0" applyBorder="1"/>
    <xf numFmtId="164" fontId="0" fillId="0" borderId="8" xfId="1" applyNumberFormat="1" applyFont="1" applyBorder="1"/>
    <xf numFmtId="44" fontId="0" fillId="0" borderId="10" xfId="2" applyFont="1" applyFill="1" applyBorder="1"/>
    <xf numFmtId="164" fontId="0" fillId="0" borderId="11" xfId="1" applyNumberFormat="1" applyFont="1" applyBorder="1"/>
    <xf numFmtId="44" fontId="0" fillId="0" borderId="11" xfId="0" applyNumberFormat="1" applyBorder="1"/>
    <xf numFmtId="10" fontId="0" fillId="7" borderId="11" xfId="3" applyNumberFormat="1" applyFont="1" applyFill="1" applyBorder="1"/>
    <xf numFmtId="167" fontId="0" fillId="0" borderId="10" xfId="0" applyNumberFormat="1" applyBorder="1"/>
    <xf numFmtId="44" fontId="3" fillId="0" borderId="0" xfId="0" applyNumberFormat="1" applyFont="1" applyFill="1" applyBorder="1" applyAlignment="1">
      <alignment horizontal="center"/>
    </xf>
    <xf numFmtId="10" fontId="7" fillId="7" borderId="5" xfId="0" applyNumberFormat="1" applyFont="1" applyFill="1" applyBorder="1"/>
    <xf numFmtId="44" fontId="8" fillId="0" borderId="10" xfId="0" applyNumberFormat="1" applyFont="1" applyBorder="1" applyAlignment="1">
      <alignment horizontal="center"/>
    </xf>
    <xf numFmtId="44" fontId="3" fillId="0" borderId="11" xfId="2" applyFont="1" applyBorder="1" applyAlignment="1">
      <alignment horizontal="center"/>
    </xf>
    <xf numFmtId="44" fontId="3" fillId="0" borderId="12" xfId="0" applyNumberFormat="1" applyFont="1" applyBorder="1" applyAlignment="1">
      <alignment horizontal="center"/>
    </xf>
    <xf numFmtId="44" fontId="3" fillId="0" borderId="11" xfId="0" applyNumberFormat="1" applyFont="1" applyFill="1" applyBorder="1" applyAlignment="1">
      <alignment horizontal="center"/>
    </xf>
    <xf numFmtId="44" fontId="3" fillId="0" borderId="12" xfId="0" applyNumberFormat="1" applyFont="1" applyFill="1" applyBorder="1" applyAlignment="1">
      <alignment horizontal="center"/>
    </xf>
    <xf numFmtId="10" fontId="10" fillId="2" borderId="6" xfId="3" applyNumberFormat="1" applyFont="1" applyFill="1" applyBorder="1"/>
    <xf numFmtId="0" fontId="3" fillId="0" borderId="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10" fontId="10" fillId="0" borderId="2" xfId="3" applyNumberFormat="1" applyFont="1" applyBorder="1"/>
    <xf numFmtId="9" fontId="0" fillId="0" borderId="3" xfId="3" applyFont="1" applyBorder="1"/>
    <xf numFmtId="9" fontId="3" fillId="2" borderId="7" xfId="3" applyFont="1" applyFill="1" applyBorder="1"/>
    <xf numFmtId="8" fontId="18" fillId="7" borderId="7" xfId="2" applyNumberFormat="1" applyFont="1" applyFill="1" applyBorder="1"/>
    <xf numFmtId="0" fontId="3" fillId="2" borderId="0" xfId="0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center" vertical="center" wrapText="1"/>
    </xf>
    <xf numFmtId="44" fontId="7" fillId="0" borderId="6" xfId="2" applyFont="1" applyFill="1" applyBorder="1"/>
    <xf numFmtId="44" fontId="7" fillId="0" borderId="9" xfId="0" applyNumberFormat="1" applyFont="1" applyBorder="1"/>
    <xf numFmtId="44" fontId="0" fillId="2" borderId="11" xfId="0" applyNumberFormat="1" applyFill="1" applyBorder="1"/>
    <xf numFmtId="43" fontId="0" fillId="2" borderId="11" xfId="0" applyNumberFormat="1" applyFill="1" applyBorder="1"/>
    <xf numFmtId="165" fontId="0" fillId="7" borderId="11" xfId="3" applyNumberFormat="1" applyFont="1" applyFill="1" applyBorder="1"/>
    <xf numFmtId="174" fontId="0" fillId="0" borderId="11" xfId="0" applyNumberFormat="1" applyBorder="1"/>
    <xf numFmtId="44" fontId="3" fillId="0" borderId="11" xfId="0" applyNumberFormat="1" applyFont="1" applyBorder="1" applyAlignment="1">
      <alignment horizontal="center"/>
    </xf>
    <xf numFmtId="44" fontId="3" fillId="3" borderId="15" xfId="2" applyFont="1" applyFill="1" applyBorder="1"/>
    <xf numFmtId="0" fontId="3" fillId="3" borderId="13" xfId="0" applyFont="1" applyFill="1" applyBorder="1" applyAlignment="1">
      <alignment horizontal="center" vertical="center"/>
    </xf>
    <xf numFmtId="44" fontId="0" fillId="3" borderId="1" xfId="2" applyFont="1" applyFill="1" applyBorder="1"/>
    <xf numFmtId="175" fontId="0" fillId="0" borderId="0" xfId="2" applyNumberFormat="1" applyFont="1" applyBorder="1"/>
    <xf numFmtId="0" fontId="3" fillId="0" borderId="0" xfId="0" applyFont="1" applyBorder="1" applyAlignment="1">
      <alignment horizontal="center"/>
    </xf>
    <xf numFmtId="10" fontId="3" fillId="0" borderId="0" xfId="3" applyNumberFormat="1" applyFont="1" applyFill="1" applyBorder="1"/>
    <xf numFmtId="10" fontId="3" fillId="0" borderId="10" xfId="2" applyNumberFormat="1" applyFont="1" applyBorder="1"/>
    <xf numFmtId="10" fontId="3" fillId="0" borderId="11" xfId="3" applyNumberFormat="1" applyFont="1" applyBorder="1"/>
    <xf numFmtId="10" fontId="3" fillId="0" borderId="11" xfId="2" applyNumberFormat="1" applyFont="1" applyBorder="1"/>
    <xf numFmtId="10" fontId="3" fillId="0" borderId="11" xfId="0" applyNumberFormat="1" applyFont="1" applyBorder="1"/>
    <xf numFmtId="10" fontId="3" fillId="0" borderId="11" xfId="3" applyNumberFormat="1" applyFont="1" applyFill="1" applyBorder="1"/>
    <xf numFmtId="10" fontId="3" fillId="0" borderId="12" xfId="3" applyNumberFormat="1" applyFont="1" applyFill="1" applyBorder="1"/>
    <xf numFmtId="0" fontId="3" fillId="0" borderId="0" xfId="0" applyFont="1" applyAlignment="1">
      <alignment horizontal="center"/>
    </xf>
    <xf numFmtId="0" fontId="3" fillId="0" borderId="0" xfId="0" applyFont="1" applyAlignment="1"/>
    <xf numFmtId="0" fontId="7" fillId="0" borderId="0" xfId="0" applyFont="1" applyBorder="1" applyAlignment="1">
      <alignment horizontal="right"/>
    </xf>
    <xf numFmtId="44" fontId="3" fillId="8" borderId="15" xfId="2" applyFont="1" applyFill="1" applyBorder="1"/>
    <xf numFmtId="0" fontId="2" fillId="9" borderId="12" xfId="0" applyFont="1" applyFill="1" applyBorder="1" applyAlignment="1">
      <alignment horizontal="center"/>
    </xf>
    <xf numFmtId="44" fontId="5" fillId="6" borderId="1" xfId="2" applyFont="1" applyFill="1" applyBorder="1"/>
    <xf numFmtId="44" fontId="10" fillId="0" borderId="14" xfId="2" applyFont="1" applyBorder="1"/>
    <xf numFmtId="10" fontId="10" fillId="0" borderId="15" xfId="3" applyNumberFormat="1" applyFont="1" applyBorder="1"/>
    <xf numFmtId="0" fontId="3" fillId="3" borderId="9" xfId="0" applyFont="1" applyFill="1" applyBorder="1" applyAlignment="1">
      <alignment horizontal="center" vertical="center"/>
    </xf>
    <xf numFmtId="44" fontId="3" fillId="3" borderId="11" xfId="2" applyFont="1" applyFill="1" applyBorder="1"/>
    <xf numFmtId="44" fontId="3" fillId="3" borderId="9" xfId="2" applyFont="1" applyFill="1" applyBorder="1"/>
  </cellXfs>
  <cellStyles count="5">
    <cellStyle name="Hipervínculo" xfId="4" builtinId="8"/>
    <cellStyle name="Millares" xfId="1" builtinId="3"/>
    <cellStyle name="Moneda" xfId="2" builtinId="4"/>
    <cellStyle name="Normal" xfId="0" builtinId="0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ob.mx/shcp/documentos/tasa-social-de-descuento-ts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workbookViewId="0">
      <selection activeCell="A3" sqref="A1:XFD1048576"/>
    </sheetView>
  </sheetViews>
  <sheetFormatPr baseColWidth="10" defaultRowHeight="14.4" x14ac:dyDescent="0.3"/>
  <cols>
    <col min="1" max="1" width="33.5546875" customWidth="1"/>
    <col min="2" max="2" width="19.44140625" customWidth="1"/>
    <col min="3" max="3" width="18.5546875" customWidth="1"/>
    <col min="4" max="4" width="14" customWidth="1"/>
    <col min="5" max="5" width="16.6640625" customWidth="1"/>
    <col min="6" max="6" width="14.109375" customWidth="1"/>
    <col min="7" max="7" width="15.5546875" customWidth="1"/>
    <col min="8" max="8" width="14.33203125" customWidth="1"/>
    <col min="10" max="10" width="14.77734375" bestFit="1" customWidth="1"/>
  </cols>
  <sheetData>
    <row r="1" spans="1:8" s="111" customFormat="1" ht="18.600000000000001" thickBot="1" x14ac:dyDescent="0.4">
      <c r="A1" s="124" t="s">
        <v>61</v>
      </c>
      <c r="B1" s="125"/>
      <c r="C1" s="125"/>
      <c r="D1" s="125"/>
      <c r="E1" s="125"/>
      <c r="F1" s="125"/>
      <c r="G1" s="125"/>
      <c r="H1" s="126"/>
    </row>
    <row r="2" spans="1:8" ht="43.8" thickBot="1" x14ac:dyDescent="0.35">
      <c r="B2" s="13" t="s">
        <v>1</v>
      </c>
      <c r="C2" s="14" t="s">
        <v>2</v>
      </c>
      <c r="D2" s="15" t="s">
        <v>6</v>
      </c>
      <c r="E2" s="16" t="s">
        <v>5</v>
      </c>
      <c r="F2" s="29" t="s">
        <v>4</v>
      </c>
      <c r="G2" s="16" t="s">
        <v>3</v>
      </c>
      <c r="H2" s="38" t="s">
        <v>8</v>
      </c>
    </row>
    <row r="3" spans="1:8" ht="15" thickBot="1" x14ac:dyDescent="0.35">
      <c r="A3" s="20" t="s">
        <v>93</v>
      </c>
      <c r="B3" s="21">
        <v>604000</v>
      </c>
      <c r="C3" s="22">
        <v>1402566</v>
      </c>
      <c r="D3" s="22">
        <f>+B3/G3</f>
        <v>3.8227848101265822</v>
      </c>
      <c r="E3" s="23">
        <f t="shared" ref="E3" si="0">+F3*D3</f>
        <v>3.8227848101265822</v>
      </c>
      <c r="F3" s="1">
        <f>+G3/$G$4</f>
        <v>1</v>
      </c>
      <c r="G3" s="37">
        <v>158000</v>
      </c>
      <c r="H3" s="141">
        <v>26885</v>
      </c>
    </row>
    <row r="4" spans="1:8" ht="16.2" thickBot="1" x14ac:dyDescent="0.35">
      <c r="A4" s="24" t="s">
        <v>7</v>
      </c>
      <c r="B4" s="25">
        <f>SUM(B3:B3)</f>
        <v>604000</v>
      </c>
      <c r="C4" s="26">
        <f>SUM(C3:C3)</f>
        <v>1402566</v>
      </c>
      <c r="D4" s="27">
        <f>AVERAGE(D3:D3)</f>
        <v>3.8227848101265822</v>
      </c>
      <c r="E4" s="28">
        <f>SUM(E3:E3)</f>
        <v>3.8227848101265822</v>
      </c>
      <c r="F4" s="2"/>
      <c r="G4" s="3">
        <f>SUM(G3:G3)</f>
        <v>158000</v>
      </c>
    </row>
  </sheetData>
  <mergeCells count="1">
    <mergeCell ref="A1:H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13"/>
  <sheetViews>
    <sheetView zoomScale="90" zoomScaleNormal="90" workbookViewId="0">
      <selection activeCell="H21" sqref="H21"/>
    </sheetView>
  </sheetViews>
  <sheetFormatPr baseColWidth="10" defaultRowHeight="14.4" x14ac:dyDescent="0.3"/>
  <cols>
    <col min="2" max="2" width="10.77734375" customWidth="1"/>
    <col min="3" max="3" width="10.6640625" customWidth="1"/>
    <col min="4" max="5" width="18.6640625" customWidth="1"/>
    <col min="6" max="6" width="25.77734375" customWidth="1"/>
    <col min="7" max="7" width="15.77734375" customWidth="1"/>
    <col min="8" max="8" width="10.77734375" customWidth="1"/>
    <col min="9" max="9" width="10.6640625" customWidth="1"/>
    <col min="10" max="10" width="18.6640625" customWidth="1"/>
    <col min="11" max="11" width="18.5546875" customWidth="1"/>
    <col min="12" max="12" width="25.6640625" customWidth="1"/>
    <col min="13" max="13" width="14.5546875" customWidth="1"/>
    <col min="14" max="25" width="14.5546875" style="110" customWidth="1"/>
    <col min="26" max="36" width="14.5546875" customWidth="1"/>
  </cols>
  <sheetData>
    <row r="1" spans="2:25" ht="15.6" x14ac:dyDescent="0.3">
      <c r="B1" s="143" t="s">
        <v>66</v>
      </c>
      <c r="C1" s="144"/>
      <c r="D1" s="144"/>
      <c r="E1" s="144"/>
      <c r="F1" s="39"/>
      <c r="G1" s="39"/>
      <c r="H1" s="143" t="s">
        <v>77</v>
      </c>
      <c r="I1" s="144"/>
      <c r="J1" s="144"/>
      <c r="K1" s="144"/>
      <c r="L1" s="39"/>
      <c r="M1" s="3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159"/>
      <c r="Y1" s="159"/>
    </row>
    <row r="2" spans="2:25" ht="16.2" thickBot="1" x14ac:dyDescent="0.35">
      <c r="B2" s="143" t="s">
        <v>67</v>
      </c>
      <c r="C2" s="144"/>
      <c r="D2" s="144"/>
      <c r="E2" s="144"/>
      <c r="F2" s="40"/>
      <c r="G2" s="40"/>
      <c r="H2" s="143" t="s">
        <v>67</v>
      </c>
      <c r="I2" s="144"/>
      <c r="J2" s="144"/>
      <c r="K2" s="144"/>
      <c r="L2" s="40"/>
      <c r="M2" s="40"/>
      <c r="N2" s="160"/>
      <c r="O2" s="160"/>
      <c r="P2" s="160"/>
      <c r="Q2" s="160"/>
      <c r="R2" s="160"/>
      <c r="S2" s="160"/>
      <c r="T2" s="160"/>
      <c r="U2" s="160"/>
      <c r="V2" s="160"/>
      <c r="W2" s="160"/>
      <c r="X2" s="160"/>
      <c r="Y2" s="160"/>
    </row>
    <row r="3" spans="2:25" ht="15" thickBot="1" x14ac:dyDescent="0.35">
      <c r="B3" s="147" t="s">
        <v>0</v>
      </c>
      <c r="C3" s="146">
        <v>1</v>
      </c>
      <c r="D3" s="152">
        <f>+Antecedentes!G3</f>
        <v>158000</v>
      </c>
      <c r="E3" s="153" t="s">
        <v>74</v>
      </c>
      <c r="F3" s="5"/>
      <c r="G3" s="5"/>
      <c r="H3" s="147" t="s">
        <v>0</v>
      </c>
      <c r="I3" s="146">
        <v>1</v>
      </c>
      <c r="J3" s="152">
        <f>+D3</f>
        <v>158000</v>
      </c>
      <c r="K3" s="153" t="s">
        <v>74</v>
      </c>
      <c r="L3" s="5"/>
      <c r="M3" s="5"/>
      <c r="N3" s="161"/>
      <c r="O3" s="161"/>
      <c r="P3" s="161"/>
      <c r="Q3" s="161"/>
      <c r="R3" s="161"/>
      <c r="S3" s="161"/>
      <c r="T3" s="161"/>
      <c r="U3" s="161"/>
      <c r="V3" s="161"/>
      <c r="W3" s="161"/>
      <c r="X3" s="161"/>
      <c r="Y3" s="161"/>
    </row>
    <row r="4" spans="2:25" ht="15" thickBot="1" x14ac:dyDescent="0.35">
      <c r="B4" s="145"/>
      <c r="C4" s="148" t="s">
        <v>71</v>
      </c>
      <c r="D4" s="149" t="s">
        <v>92</v>
      </c>
      <c r="E4" s="154" t="s">
        <v>73</v>
      </c>
      <c r="F4" s="173" t="s">
        <v>76</v>
      </c>
      <c r="G4" s="5"/>
      <c r="H4" s="145"/>
      <c r="I4" s="148" t="s">
        <v>71</v>
      </c>
      <c r="J4" s="149" t="s">
        <v>92</v>
      </c>
      <c r="K4" s="154" t="s">
        <v>73</v>
      </c>
      <c r="L4" s="173" t="s">
        <v>76</v>
      </c>
      <c r="M4" s="5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</row>
    <row r="5" spans="2:25" x14ac:dyDescent="0.3">
      <c r="B5" s="4" t="s">
        <v>68</v>
      </c>
      <c r="C5" s="150" t="s">
        <v>69</v>
      </c>
      <c r="D5" s="142">
        <v>500</v>
      </c>
      <c r="E5" s="163">
        <f>+((15*500)+((0.8)*500))*12</f>
        <v>94800</v>
      </c>
      <c r="F5" s="155" t="s">
        <v>75</v>
      </c>
      <c r="G5" s="5"/>
      <c r="H5" s="4" t="s">
        <v>68</v>
      </c>
      <c r="I5" s="150" t="s">
        <v>69</v>
      </c>
      <c r="J5" s="142">
        <v>500</v>
      </c>
      <c r="K5" s="163">
        <f>+((15*500)+((0.8)*500))*12</f>
        <v>94800</v>
      </c>
      <c r="L5" s="155" t="s">
        <v>84</v>
      </c>
      <c r="M5" s="5"/>
      <c r="N5" s="161"/>
      <c r="O5" s="161"/>
      <c r="P5" s="161"/>
      <c r="Q5" s="161"/>
      <c r="R5" s="161"/>
      <c r="S5" s="161"/>
      <c r="T5" s="161"/>
      <c r="U5" s="161"/>
      <c r="V5" s="161"/>
      <c r="W5" s="161"/>
      <c r="X5" s="161"/>
      <c r="Y5" s="161"/>
    </row>
    <row r="6" spans="2:25" ht="15" thickBot="1" x14ac:dyDescent="0.35">
      <c r="B6" s="6" t="s">
        <v>70</v>
      </c>
      <c r="C6" s="151" t="s">
        <v>72</v>
      </c>
      <c r="D6" s="7">
        <v>450000</v>
      </c>
      <c r="E6" s="69">
        <f>+(450000*15)+((0.8)*450000)</f>
        <v>7110000</v>
      </c>
      <c r="F6" s="156"/>
      <c r="G6" s="41"/>
      <c r="H6" s="6" t="s">
        <v>70</v>
      </c>
      <c r="I6" s="151" t="s">
        <v>72</v>
      </c>
      <c r="J6" s="7"/>
      <c r="K6" s="69">
        <v>8000000</v>
      </c>
      <c r="L6" s="156"/>
      <c r="M6" s="41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</row>
    <row r="7" spans="2:25" ht="15" thickBot="1" x14ac:dyDescent="0.35">
      <c r="B7" s="169" t="s">
        <v>85</v>
      </c>
      <c r="C7" s="170"/>
      <c r="D7" s="170"/>
      <c r="E7" s="47">
        <f>+E6+E5</f>
        <v>7204800</v>
      </c>
      <c r="G7" s="41"/>
      <c r="H7" s="17" t="s">
        <v>78</v>
      </c>
      <c r="I7" s="9" t="s">
        <v>86</v>
      </c>
      <c r="J7" s="9"/>
      <c r="K7" s="164">
        <v>1000000</v>
      </c>
      <c r="M7" s="41"/>
      <c r="N7" s="162"/>
      <c r="O7" s="162"/>
      <c r="P7" s="162"/>
      <c r="Q7" s="162"/>
      <c r="R7" s="162"/>
      <c r="S7" s="162"/>
      <c r="T7" s="162"/>
      <c r="U7" s="162"/>
      <c r="V7" s="162"/>
      <c r="W7" s="162"/>
      <c r="X7" s="162"/>
      <c r="Y7" s="162"/>
    </row>
    <row r="8" spans="2:25" x14ac:dyDescent="0.3">
      <c r="G8" s="41"/>
      <c r="H8" s="42" t="s">
        <v>79</v>
      </c>
      <c r="I8" s="43" t="s">
        <v>87</v>
      </c>
      <c r="J8" s="43"/>
      <c r="K8" s="80">
        <v>1000000</v>
      </c>
      <c r="M8" s="41"/>
      <c r="N8" s="162"/>
      <c r="O8" s="162"/>
      <c r="P8" s="162"/>
      <c r="Q8" s="162"/>
      <c r="R8" s="162"/>
      <c r="S8" s="162"/>
      <c r="T8" s="162"/>
      <c r="U8" s="162"/>
      <c r="V8" s="162"/>
      <c r="W8" s="162"/>
      <c r="X8" s="162"/>
      <c r="Y8" s="162"/>
    </row>
    <row r="9" spans="2:25" x14ac:dyDescent="0.3">
      <c r="G9" s="41"/>
      <c r="H9" s="42" t="s">
        <v>80</v>
      </c>
      <c r="I9" s="43" t="s">
        <v>88</v>
      </c>
      <c r="J9" s="43"/>
      <c r="K9" s="80">
        <v>1000000</v>
      </c>
      <c r="M9" s="41"/>
      <c r="N9" s="162"/>
      <c r="O9" s="162"/>
      <c r="P9" s="162"/>
      <c r="Q9" s="162"/>
      <c r="R9" s="162"/>
      <c r="S9" s="162"/>
      <c r="T9" s="162"/>
      <c r="U9" s="162"/>
      <c r="V9" s="162"/>
      <c r="W9" s="162"/>
      <c r="X9" s="162"/>
      <c r="Y9" s="162"/>
    </row>
    <row r="10" spans="2:25" x14ac:dyDescent="0.3">
      <c r="B10" s="43"/>
      <c r="C10" s="142"/>
      <c r="D10" s="41"/>
      <c r="E10" s="41"/>
      <c r="F10" s="157"/>
      <c r="G10" s="41"/>
      <c r="H10" s="42" t="s">
        <v>81</v>
      </c>
      <c r="I10" s="43" t="s">
        <v>89</v>
      </c>
      <c r="J10" s="41"/>
      <c r="K10" s="80">
        <v>1000000</v>
      </c>
      <c r="L10" s="41"/>
      <c r="M10" s="41"/>
      <c r="N10" s="162"/>
      <c r="O10" s="162"/>
      <c r="P10" s="162"/>
      <c r="Q10" s="162"/>
      <c r="R10" s="162"/>
      <c r="S10" s="162"/>
      <c r="T10" s="162"/>
      <c r="U10" s="162"/>
      <c r="V10" s="162"/>
      <c r="W10" s="162"/>
      <c r="X10" s="162"/>
      <c r="Y10" s="162"/>
    </row>
    <row r="11" spans="2:25" x14ac:dyDescent="0.3">
      <c r="B11" s="43"/>
      <c r="C11" s="142"/>
      <c r="D11" s="41"/>
      <c r="E11" s="41"/>
      <c r="F11" s="157"/>
      <c r="G11" s="41"/>
      <c r="H11" s="42" t="s">
        <v>83</v>
      </c>
      <c r="I11" s="43" t="s">
        <v>90</v>
      </c>
      <c r="J11" s="41"/>
      <c r="K11" s="80">
        <v>2000000</v>
      </c>
      <c r="L11" s="41"/>
      <c r="M11" s="41"/>
      <c r="N11" s="162"/>
      <c r="O11" s="162"/>
      <c r="P11" s="162"/>
      <c r="Q11" s="162"/>
      <c r="R11" s="162"/>
      <c r="S11" s="162"/>
      <c r="T11" s="162"/>
      <c r="U11" s="162"/>
      <c r="V11" s="162"/>
      <c r="W11" s="162"/>
      <c r="X11" s="162"/>
      <c r="Y11" s="162"/>
    </row>
    <row r="12" spans="2:25" ht="15" thickBot="1" x14ac:dyDescent="0.35">
      <c r="B12" s="43"/>
      <c r="C12" s="142"/>
      <c r="D12" s="41"/>
      <c r="E12" s="41"/>
      <c r="F12" s="157"/>
      <c r="G12" s="41"/>
      <c r="H12" s="171" t="s">
        <v>82</v>
      </c>
      <c r="I12" s="43" t="s">
        <v>91</v>
      </c>
      <c r="J12" s="41"/>
      <c r="K12" s="80">
        <v>2000000</v>
      </c>
      <c r="L12" s="41"/>
      <c r="M12" s="41"/>
      <c r="N12" s="162"/>
      <c r="O12" s="162"/>
      <c r="P12" s="162"/>
      <c r="Q12" s="162"/>
      <c r="R12" s="162"/>
      <c r="S12" s="162"/>
      <c r="T12" s="162"/>
      <c r="U12" s="162"/>
      <c r="V12" s="162"/>
      <c r="W12" s="162"/>
      <c r="X12" s="162"/>
      <c r="Y12" s="162"/>
    </row>
    <row r="13" spans="2:25" ht="15" thickBot="1" x14ac:dyDescent="0.35">
      <c r="B13" s="43"/>
      <c r="C13" s="142"/>
      <c r="D13" s="41"/>
      <c r="E13" s="41"/>
      <c r="F13" s="157"/>
      <c r="G13" s="41"/>
      <c r="H13" s="165" t="s">
        <v>85</v>
      </c>
      <c r="I13" s="166"/>
      <c r="J13" s="166"/>
      <c r="K13" s="167">
        <f>+K6+K5</f>
        <v>8094800</v>
      </c>
      <c r="L13" s="41"/>
      <c r="M13" s="41"/>
      <c r="N13" s="162"/>
      <c r="O13" s="162"/>
      <c r="P13" s="162"/>
      <c r="Q13" s="162"/>
      <c r="R13" s="162"/>
      <c r="S13" s="162"/>
      <c r="T13" s="162"/>
      <c r="U13" s="162"/>
      <c r="V13" s="162"/>
      <c r="W13" s="162"/>
      <c r="X13" s="162"/>
      <c r="Y13" s="162"/>
    </row>
  </sheetData>
  <mergeCells count="6">
    <mergeCell ref="B1:E1"/>
    <mergeCell ref="B2:E2"/>
    <mergeCell ref="F5:F6"/>
    <mergeCell ref="L5:L6"/>
    <mergeCell ref="H1:K1"/>
    <mergeCell ref="H2:K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"/>
  <sheetViews>
    <sheetView zoomScale="90" zoomScaleNormal="90" workbookViewId="0">
      <selection sqref="A1:XFD1048576"/>
    </sheetView>
  </sheetViews>
  <sheetFormatPr baseColWidth="10" defaultColWidth="11.6640625" defaultRowHeight="14.4" x14ac:dyDescent="0.3"/>
  <cols>
    <col min="1" max="1" width="32.44140625" bestFit="1" customWidth="1"/>
    <col min="2" max="2" width="17.33203125" customWidth="1"/>
    <col min="3" max="3" width="9.44140625" bestFit="1" customWidth="1"/>
    <col min="4" max="4" width="17.88671875" customWidth="1"/>
    <col min="5" max="5" width="17.5546875" customWidth="1"/>
    <col min="6" max="6" width="23.33203125" bestFit="1" customWidth="1"/>
    <col min="7" max="7" width="11.77734375" customWidth="1"/>
    <col min="8" max="8" width="11.109375" customWidth="1"/>
    <col min="9" max="9" width="14.5546875" customWidth="1"/>
    <col min="10" max="10" width="19.5546875" customWidth="1"/>
    <col min="11" max="11" width="16.77734375" customWidth="1"/>
    <col min="12" max="12" width="17.109375" customWidth="1"/>
    <col min="13" max="13" width="5.44140625" bestFit="1" customWidth="1"/>
    <col min="14" max="14" width="6.88671875" bestFit="1" customWidth="1"/>
    <col min="15" max="15" width="4.77734375" bestFit="1" customWidth="1"/>
  </cols>
  <sheetData>
    <row r="1" spans="1:15" ht="18.600000000000001" thickBot="1" x14ac:dyDescent="0.4">
      <c r="A1" s="124" t="s">
        <v>21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6"/>
    </row>
    <row r="2" spans="1:15" ht="43.8" thickBot="1" x14ac:dyDescent="0.35">
      <c r="B2" s="29" t="s">
        <v>19</v>
      </c>
      <c r="C2" s="14" t="s">
        <v>3</v>
      </c>
      <c r="D2" s="102" t="s">
        <v>59</v>
      </c>
      <c r="E2" s="103" t="s">
        <v>60</v>
      </c>
      <c r="F2" s="104" t="s">
        <v>64</v>
      </c>
      <c r="G2" s="100" t="s">
        <v>14</v>
      </c>
      <c r="H2" s="35" t="s">
        <v>16</v>
      </c>
      <c r="I2" s="101" t="s">
        <v>17</v>
      </c>
      <c r="J2" s="49" t="s">
        <v>62</v>
      </c>
      <c r="K2" s="50" t="s">
        <v>63</v>
      </c>
      <c r="L2" s="30" t="s">
        <v>18</v>
      </c>
      <c r="M2" s="30" t="s">
        <v>10</v>
      </c>
      <c r="N2" s="30" t="s">
        <v>11</v>
      </c>
      <c r="O2" s="51" t="s">
        <v>12</v>
      </c>
    </row>
    <row r="3" spans="1:15" ht="15" thickBot="1" x14ac:dyDescent="0.35">
      <c r="A3" s="17" t="str">
        <f>+Antecedentes!A3</f>
        <v>Predio El estuche Tapalpa</v>
      </c>
      <c r="B3" s="18">
        <f>+Antecedentes!B3</f>
        <v>604000</v>
      </c>
      <c r="C3" s="172">
        <f>+Antecedentes!G3</f>
        <v>158000</v>
      </c>
      <c r="D3" s="105">
        <f>+Propuestas!E7</f>
        <v>7204800</v>
      </c>
      <c r="E3" s="32">
        <f>+Propuestas!K13</f>
        <v>8094800</v>
      </c>
      <c r="F3" s="106">
        <f>+E3-D3</f>
        <v>890000</v>
      </c>
      <c r="G3" s="175">
        <f>+B3/C3</f>
        <v>3.8227848101265822</v>
      </c>
      <c r="H3" s="176">
        <f>+D3/C3</f>
        <v>45.6</v>
      </c>
      <c r="I3" s="177">
        <f>+E3/C3</f>
        <v>51.232911392405065</v>
      </c>
      <c r="J3" s="176">
        <f>+I3-H3</f>
        <v>5.6329113924050631</v>
      </c>
      <c r="K3" s="178">
        <f>+I3/H3-1</f>
        <v>0.12352875860537416</v>
      </c>
      <c r="L3" s="179">
        <v>48.591999999999999</v>
      </c>
      <c r="M3" s="180">
        <v>48</v>
      </c>
      <c r="N3" s="180">
        <v>7</v>
      </c>
      <c r="O3" s="181">
        <v>2</v>
      </c>
    </row>
    <row r="4" spans="1:15" ht="15" thickBot="1" x14ac:dyDescent="0.35">
      <c r="A4" s="45" t="s">
        <v>7</v>
      </c>
      <c r="B4" s="48">
        <v>39572080.899999999</v>
      </c>
      <c r="C4" s="46"/>
      <c r="D4" s="107">
        <f>SUM(D3:D3)</f>
        <v>7204800</v>
      </c>
      <c r="E4" s="46">
        <f>SUM(E3:E3)</f>
        <v>8094800</v>
      </c>
      <c r="F4" s="47">
        <f>+E4-D4</f>
        <v>890000</v>
      </c>
      <c r="L4" s="174"/>
      <c r="N4" s="36"/>
    </row>
    <row r="5" spans="1:15" x14ac:dyDescent="0.3">
      <c r="L5" s="36"/>
    </row>
  </sheetData>
  <mergeCells count="1">
    <mergeCell ref="A1:O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22"/>
  <sheetViews>
    <sheetView zoomScale="90" zoomScaleNormal="90" workbookViewId="0">
      <selection sqref="A1:XFD1048576"/>
    </sheetView>
  </sheetViews>
  <sheetFormatPr baseColWidth="10" defaultColWidth="33.5546875" defaultRowHeight="14.4" x14ac:dyDescent="0.3"/>
  <cols>
    <col min="1" max="1" width="32.44140625" bestFit="1" customWidth="1"/>
    <col min="2" max="3" width="16.33203125" bestFit="1" customWidth="1"/>
    <col min="4" max="4" width="16" bestFit="1" customWidth="1"/>
    <col min="5" max="5" width="18.44140625" customWidth="1"/>
    <col min="6" max="6" width="20.21875" customWidth="1"/>
    <col min="7" max="7" width="14.5546875" customWidth="1"/>
    <col min="8" max="8" width="17.5546875" customWidth="1"/>
    <col min="9" max="9" width="21" bestFit="1" customWidth="1"/>
    <col min="10" max="10" width="16.109375" customWidth="1"/>
    <col min="11" max="11" width="6.88671875" bestFit="1" customWidth="1"/>
    <col min="12" max="12" width="6.33203125" bestFit="1" customWidth="1"/>
    <col min="13" max="13" width="16.33203125" bestFit="1" customWidth="1"/>
    <col min="14" max="49" width="6.33203125" bestFit="1" customWidth="1"/>
    <col min="50" max="50" width="15" bestFit="1" customWidth="1"/>
  </cols>
  <sheetData>
    <row r="1" spans="1:51" ht="18.600000000000001" thickBot="1" x14ac:dyDescent="0.4">
      <c r="A1" s="124" t="s">
        <v>53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6"/>
    </row>
    <row r="2" spans="1:51" ht="29.4" thickBot="1" x14ac:dyDescent="0.35">
      <c r="B2" s="52" t="s">
        <v>1</v>
      </c>
      <c r="C2" s="11" t="str">
        <f>+'Comparativa de Propuestas'!C2</f>
        <v>M²</v>
      </c>
      <c r="D2" s="12" t="s">
        <v>9</v>
      </c>
      <c r="E2" s="53" t="s">
        <v>14</v>
      </c>
      <c r="F2" s="54" t="s">
        <v>15</v>
      </c>
      <c r="G2" s="30" t="s">
        <v>54</v>
      </c>
      <c r="H2" s="44" t="s">
        <v>20</v>
      </c>
      <c r="I2" s="55" t="s">
        <v>13</v>
      </c>
      <c r="J2" s="30" t="s">
        <v>10</v>
      </c>
      <c r="K2" s="30" t="s">
        <v>11</v>
      </c>
      <c r="L2" s="30" t="s">
        <v>12</v>
      </c>
      <c r="M2" s="56" t="s">
        <v>2</v>
      </c>
    </row>
    <row r="3" spans="1:51" ht="15" thickBot="1" x14ac:dyDescent="0.35">
      <c r="A3" s="17" t="str">
        <f>+Antecedentes!A3</f>
        <v>Predio El estuche Tapalpa</v>
      </c>
      <c r="B3" s="34">
        <f>+'Comparativa de Propuestas'!B3</f>
        <v>604000</v>
      </c>
      <c r="C3" s="182">
        <f>+'Comparativa de Propuestas'!C3</f>
        <v>158000</v>
      </c>
      <c r="D3" s="31">
        <f>+'Comparativa de Propuestas'!D4</f>
        <v>7204800</v>
      </c>
      <c r="E3" s="175">
        <f>+B3/C3</f>
        <v>3.8227848101265822</v>
      </c>
      <c r="F3" s="177">
        <f>+D3/C3</f>
        <v>45.6</v>
      </c>
      <c r="G3" s="185">
        <f>+F3-E3</f>
        <v>41.777215189873417</v>
      </c>
      <c r="H3" s="186">
        <f>+F3/E3-1</f>
        <v>10.928476821192053</v>
      </c>
      <c r="I3" s="187">
        <f>+'Comparativa de Propuestas'!L3</f>
        <v>48.591999999999999</v>
      </c>
      <c r="J3" s="180">
        <f>+'Comparativa de Propuestas'!M3</f>
        <v>48</v>
      </c>
      <c r="K3" s="180">
        <f>+'Comparativa de Propuestas'!N3</f>
        <v>7</v>
      </c>
      <c r="L3" s="181">
        <f>+'Comparativa de Propuestas'!O3</f>
        <v>2</v>
      </c>
      <c r="M3" s="57">
        <v>1402566</v>
      </c>
    </row>
    <row r="4" spans="1:51" ht="15" thickBot="1" x14ac:dyDescent="0.35">
      <c r="A4" s="45" t="s">
        <v>7</v>
      </c>
      <c r="B4" s="48">
        <f>+B3</f>
        <v>604000</v>
      </c>
      <c r="C4" s="46"/>
      <c r="D4" s="168">
        <f>+D3</f>
        <v>7204800</v>
      </c>
      <c r="K4" s="36"/>
      <c r="M4" s="60">
        <f>SUM(M3:M3)</f>
        <v>1402566</v>
      </c>
    </row>
    <row r="5" spans="1:51" ht="15" thickBot="1" x14ac:dyDescent="0.35"/>
    <row r="6" spans="1:51" ht="15" thickBot="1" x14ac:dyDescent="0.35">
      <c r="B6" s="93">
        <v>1973</v>
      </c>
      <c r="C6" s="94">
        <v>1974</v>
      </c>
      <c r="D6" s="94">
        <v>1975</v>
      </c>
      <c r="E6" s="94">
        <v>1976</v>
      </c>
      <c r="F6" s="94">
        <v>1977</v>
      </c>
      <c r="G6" s="94">
        <v>1978</v>
      </c>
      <c r="H6" s="94">
        <v>1979</v>
      </c>
      <c r="I6" s="94">
        <v>1980</v>
      </c>
      <c r="J6" s="94">
        <v>1981</v>
      </c>
      <c r="K6" s="94">
        <v>1982</v>
      </c>
      <c r="L6" s="94">
        <v>1983</v>
      </c>
      <c r="M6" s="94">
        <v>1984</v>
      </c>
      <c r="N6" s="94">
        <v>1985</v>
      </c>
      <c r="O6" s="94">
        <v>1986</v>
      </c>
      <c r="P6" s="94">
        <v>1987</v>
      </c>
      <c r="Q6" s="94">
        <v>1988</v>
      </c>
      <c r="R6" s="94">
        <v>1989</v>
      </c>
      <c r="S6" s="94">
        <v>1990</v>
      </c>
      <c r="T6" s="94">
        <v>1991</v>
      </c>
      <c r="U6" s="94">
        <v>1992</v>
      </c>
      <c r="V6" s="94">
        <v>1993</v>
      </c>
      <c r="W6" s="94">
        <v>1994</v>
      </c>
      <c r="X6" s="94">
        <v>1995</v>
      </c>
      <c r="Y6" s="94">
        <v>1996</v>
      </c>
      <c r="Z6" s="94">
        <v>1997</v>
      </c>
      <c r="AA6" s="94">
        <v>1998</v>
      </c>
      <c r="AB6" s="94">
        <v>1999</v>
      </c>
      <c r="AC6" s="94">
        <v>2000</v>
      </c>
      <c r="AD6" s="94">
        <v>2001</v>
      </c>
      <c r="AE6" s="94">
        <v>2002</v>
      </c>
      <c r="AF6" s="94">
        <v>2003</v>
      </c>
      <c r="AG6" s="94">
        <v>2004</v>
      </c>
      <c r="AH6" s="94">
        <v>2005</v>
      </c>
      <c r="AI6" s="94">
        <v>2006</v>
      </c>
      <c r="AJ6" s="94">
        <v>2007</v>
      </c>
      <c r="AK6" s="94">
        <v>2008</v>
      </c>
      <c r="AL6" s="94">
        <v>2009</v>
      </c>
      <c r="AM6" s="94">
        <v>2010</v>
      </c>
      <c r="AN6" s="94">
        <v>2011</v>
      </c>
      <c r="AO6" s="94">
        <v>2012</v>
      </c>
      <c r="AP6" s="94">
        <v>2013</v>
      </c>
      <c r="AQ6" s="94">
        <v>2014</v>
      </c>
      <c r="AR6" s="94">
        <v>2015</v>
      </c>
      <c r="AS6" s="94">
        <v>2016</v>
      </c>
      <c r="AT6" s="94">
        <v>2017</v>
      </c>
      <c r="AU6" s="94">
        <v>2018</v>
      </c>
      <c r="AV6" s="94">
        <v>2019</v>
      </c>
      <c r="AW6" s="94">
        <v>2020</v>
      </c>
      <c r="AX6" s="95">
        <v>2021</v>
      </c>
    </row>
    <row r="7" spans="1:51" ht="15" thickBot="1" x14ac:dyDescent="0.35">
      <c r="A7" s="64" t="s">
        <v>26</v>
      </c>
      <c r="B7" s="190">
        <f>+Antecedentes!B3*-1</f>
        <v>-604000</v>
      </c>
      <c r="C7" s="191">
        <v>0</v>
      </c>
      <c r="D7" s="191">
        <v>0</v>
      </c>
      <c r="E7" s="191">
        <v>0</v>
      </c>
      <c r="F7" s="191">
        <v>0</v>
      </c>
      <c r="G7" s="191">
        <v>0</v>
      </c>
      <c r="H7" s="191">
        <v>0</v>
      </c>
      <c r="I7" s="191">
        <v>0</v>
      </c>
      <c r="J7" s="192">
        <v>0</v>
      </c>
      <c r="K7" s="193">
        <v>0</v>
      </c>
      <c r="L7" s="193">
        <v>0</v>
      </c>
      <c r="M7" s="193">
        <v>0</v>
      </c>
      <c r="N7" s="193">
        <v>0</v>
      </c>
      <c r="O7" s="193">
        <v>0</v>
      </c>
      <c r="P7" s="193">
        <v>0</v>
      </c>
      <c r="Q7" s="193">
        <v>0</v>
      </c>
      <c r="R7" s="193">
        <v>0</v>
      </c>
      <c r="S7" s="193">
        <v>0</v>
      </c>
      <c r="T7" s="193">
        <v>0</v>
      </c>
      <c r="U7" s="193">
        <v>0</v>
      </c>
      <c r="V7" s="193">
        <v>0</v>
      </c>
      <c r="W7" s="193">
        <v>0</v>
      </c>
      <c r="X7" s="193">
        <v>0</v>
      </c>
      <c r="Y7" s="193">
        <v>0</v>
      </c>
      <c r="Z7" s="193">
        <v>0</v>
      </c>
      <c r="AA7" s="193">
        <v>0</v>
      </c>
      <c r="AB7" s="193">
        <v>0</v>
      </c>
      <c r="AC7" s="193">
        <v>0</v>
      </c>
      <c r="AD7" s="193">
        <v>0</v>
      </c>
      <c r="AE7" s="193">
        <v>0</v>
      </c>
      <c r="AF7" s="193">
        <v>0</v>
      </c>
      <c r="AG7" s="193">
        <v>0</v>
      </c>
      <c r="AH7" s="193">
        <v>0</v>
      </c>
      <c r="AI7" s="193">
        <v>0</v>
      </c>
      <c r="AJ7" s="193">
        <v>0</v>
      </c>
      <c r="AK7" s="193">
        <v>0</v>
      </c>
      <c r="AL7" s="193">
        <v>0</v>
      </c>
      <c r="AM7" s="193">
        <v>0</v>
      </c>
      <c r="AN7" s="193">
        <v>0</v>
      </c>
      <c r="AO7" s="193">
        <v>0</v>
      </c>
      <c r="AP7" s="193">
        <v>0</v>
      </c>
      <c r="AQ7" s="193">
        <v>0</v>
      </c>
      <c r="AR7" s="193">
        <v>0</v>
      </c>
      <c r="AS7" s="193">
        <v>0</v>
      </c>
      <c r="AT7" s="193">
        <v>0</v>
      </c>
      <c r="AU7" s="193">
        <v>0</v>
      </c>
      <c r="AV7" s="193">
        <v>0</v>
      </c>
      <c r="AW7" s="193">
        <v>0</v>
      </c>
      <c r="AX7" s="194">
        <f>+D4</f>
        <v>7204800</v>
      </c>
      <c r="AY7" s="188"/>
    </row>
    <row r="8" spans="1:51" ht="15.6" x14ac:dyDescent="0.3">
      <c r="A8" s="65" t="s">
        <v>22</v>
      </c>
      <c r="B8" s="189">
        <f>IRR(B7:AX7)</f>
        <v>5.3001170592763769E-2</v>
      </c>
      <c r="C8" s="32"/>
      <c r="D8" s="43"/>
      <c r="E8" s="43"/>
      <c r="F8" s="43"/>
      <c r="G8" s="43"/>
      <c r="H8" s="43"/>
      <c r="I8" s="43"/>
      <c r="J8" s="43"/>
    </row>
    <row r="9" spans="1:51" ht="16.2" thickBot="1" x14ac:dyDescent="0.35">
      <c r="A9" s="66" t="s">
        <v>23</v>
      </c>
      <c r="B9" s="201">
        <f>+NPV(8.6%,B7:AX7)</f>
        <v>-429707.29913394566</v>
      </c>
    </row>
    <row r="10" spans="1:51" s="110" customFormat="1" ht="15.6" x14ac:dyDescent="0.3">
      <c r="A10" s="92" t="s">
        <v>52</v>
      </c>
      <c r="B10"/>
      <c r="C10"/>
    </row>
    <row r="11" spans="1:51" s="110" customFormat="1" ht="15.6" x14ac:dyDescent="0.3">
      <c r="A11" s="108"/>
      <c r="B11" s="109"/>
    </row>
    <row r="12" spans="1:51" ht="15" thickBot="1" x14ac:dyDescent="0.35"/>
    <row r="13" spans="1:51" ht="16.2" thickBot="1" x14ac:dyDescent="0.35">
      <c r="A13" s="127" t="s">
        <v>27</v>
      </c>
      <c r="B13" s="128"/>
      <c r="C13" s="128"/>
      <c r="D13" s="128"/>
      <c r="E13" s="128"/>
      <c r="F13" s="129"/>
    </row>
    <row r="14" spans="1:51" ht="43.8" thickBot="1" x14ac:dyDescent="0.35">
      <c r="B14" s="13" t="s">
        <v>1</v>
      </c>
      <c r="C14" s="231" t="s">
        <v>2</v>
      </c>
      <c r="D14" s="15" t="s">
        <v>9</v>
      </c>
      <c r="E14" s="197" t="s">
        <v>55</v>
      </c>
      <c r="F14" s="196" t="s">
        <v>56</v>
      </c>
    </row>
    <row r="15" spans="1:51" x14ac:dyDescent="0.3">
      <c r="A15" s="17" t="str">
        <f>+A3</f>
        <v>Predio El estuche Tapalpa</v>
      </c>
      <c r="B15" s="18">
        <f>+B4</f>
        <v>604000</v>
      </c>
      <c r="C15" s="158">
        <f>+M3</f>
        <v>1402566</v>
      </c>
      <c r="D15" s="32">
        <f>+D4</f>
        <v>7204800</v>
      </c>
      <c r="E15" s="198">
        <f>+D15/C15-1</f>
        <v>4.1368705643798585</v>
      </c>
      <c r="F15" s="199">
        <f>+D15/B15-1</f>
        <v>10.928476821192053</v>
      </c>
    </row>
    <row r="16" spans="1:51" ht="15" thickBot="1" x14ac:dyDescent="0.35">
      <c r="A16" s="45" t="s">
        <v>7</v>
      </c>
      <c r="B16" s="58">
        <f>+B15</f>
        <v>604000</v>
      </c>
      <c r="C16" s="233">
        <f>SUM(C15:C15)</f>
        <v>1402566</v>
      </c>
      <c r="D16" s="33">
        <f>SUM(D15:D15)</f>
        <v>7204800</v>
      </c>
      <c r="E16" s="195">
        <f>+D16/C16-1</f>
        <v>4.1368705643798585</v>
      </c>
      <c r="F16" s="200">
        <f>+D16/B16-1</f>
        <v>10.928476821192053</v>
      </c>
    </row>
    <row r="21" spans="11:11" s="10" customFormat="1" x14ac:dyDescent="0.3"/>
    <row r="22" spans="11:11" x14ac:dyDescent="0.3">
      <c r="K22" s="43"/>
    </row>
  </sheetData>
  <mergeCells count="2">
    <mergeCell ref="A1:L1"/>
    <mergeCell ref="A13:F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5"/>
  <sheetViews>
    <sheetView zoomScale="85" zoomScaleNormal="85" workbookViewId="0">
      <selection sqref="A1:XFD1048576"/>
    </sheetView>
  </sheetViews>
  <sheetFormatPr baseColWidth="10" defaultColWidth="29.21875" defaultRowHeight="14.4" x14ac:dyDescent="0.3"/>
  <cols>
    <col min="1" max="1" width="33.21875" customWidth="1"/>
    <col min="2" max="2" width="19.33203125" bestFit="1" customWidth="1"/>
    <col min="3" max="3" width="17.21875" bestFit="1" customWidth="1"/>
    <col min="4" max="4" width="15.21875" bestFit="1" customWidth="1"/>
    <col min="5" max="5" width="17.109375" bestFit="1" customWidth="1"/>
    <col min="6" max="6" width="20.109375" bestFit="1" customWidth="1"/>
    <col min="7" max="7" width="16.44140625" bestFit="1" customWidth="1"/>
    <col min="8" max="8" width="19.33203125" customWidth="1"/>
    <col min="9" max="9" width="21" bestFit="1" customWidth="1"/>
    <col min="10" max="12" width="16.109375" bestFit="1" customWidth="1"/>
    <col min="13" max="13" width="16" customWidth="1"/>
    <col min="14" max="49" width="6" bestFit="1" customWidth="1"/>
    <col min="50" max="50" width="14.21875" bestFit="1" customWidth="1"/>
  </cols>
  <sheetData>
    <row r="1" spans="1:50" ht="18.600000000000001" thickBot="1" x14ac:dyDescent="0.4">
      <c r="A1" s="124" t="s">
        <v>57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6"/>
    </row>
    <row r="2" spans="1:50" ht="29.4" thickBot="1" x14ac:dyDescent="0.35">
      <c r="B2" s="52" t="s">
        <v>1</v>
      </c>
      <c r="C2" s="11" t="s">
        <v>4</v>
      </c>
      <c r="D2" s="12" t="s">
        <v>9</v>
      </c>
      <c r="E2" s="202" t="s">
        <v>14</v>
      </c>
      <c r="F2" s="202" t="s">
        <v>15</v>
      </c>
      <c r="G2" s="30" t="s">
        <v>58</v>
      </c>
      <c r="H2" s="203" t="s">
        <v>20</v>
      </c>
      <c r="I2" s="55" t="s">
        <v>13</v>
      </c>
      <c r="J2" s="30" t="s">
        <v>10</v>
      </c>
      <c r="K2" s="30" t="s">
        <v>11</v>
      </c>
      <c r="L2" s="30" t="s">
        <v>12</v>
      </c>
      <c r="M2" s="212" t="s">
        <v>2</v>
      </c>
    </row>
    <row r="3" spans="1:50" ht="15" thickBot="1" x14ac:dyDescent="0.35">
      <c r="A3" s="19" t="str">
        <f>+'Análisis Pago contado'!A3</f>
        <v>Predio El estuche Tapalpa</v>
      </c>
      <c r="B3" s="183">
        <f>+'Análisis Pago contado'!B3</f>
        <v>604000</v>
      </c>
      <c r="C3" s="184">
        <f>+Propuestas!D3</f>
        <v>158000</v>
      </c>
      <c r="D3" s="185">
        <f>+Propuestas!K13</f>
        <v>8094800</v>
      </c>
      <c r="E3" s="206">
        <f>+B3/C3</f>
        <v>3.8227848101265822</v>
      </c>
      <c r="F3" s="207">
        <f>+D3/C3</f>
        <v>51.232911392405065</v>
      </c>
      <c r="G3" s="185">
        <f>+F3-E3</f>
        <v>47.41012658227848</v>
      </c>
      <c r="H3" s="208">
        <f>+F3/E3-1</f>
        <v>12.401986754966888</v>
      </c>
      <c r="I3" s="179">
        <f>+'Comparativa de Propuestas'!L3</f>
        <v>48.591999999999999</v>
      </c>
      <c r="J3" s="209">
        <f>+'Comparativa de Propuestas'!M3</f>
        <v>48</v>
      </c>
      <c r="K3" s="209">
        <f>+'Comparativa de Propuestas'!N3</f>
        <v>7</v>
      </c>
      <c r="L3" s="209">
        <f>+'Comparativa de Propuestas'!O3</f>
        <v>2</v>
      </c>
      <c r="M3" s="213">
        <v>1402566</v>
      </c>
    </row>
    <row r="4" spans="1:50" ht="16.2" thickBot="1" x14ac:dyDescent="0.35">
      <c r="A4" s="45" t="s">
        <v>7</v>
      </c>
      <c r="B4" s="204">
        <f>+B3</f>
        <v>604000</v>
      </c>
      <c r="C4" s="205"/>
      <c r="D4" s="59">
        <f>+D3</f>
        <v>8094800</v>
      </c>
      <c r="K4" s="36"/>
      <c r="M4" s="211">
        <v>1402566</v>
      </c>
    </row>
    <row r="5" spans="1:50" ht="15" thickBot="1" x14ac:dyDescent="0.35"/>
    <row r="6" spans="1:50" ht="15" thickBot="1" x14ac:dyDescent="0.35">
      <c r="B6" s="62">
        <v>1973</v>
      </c>
      <c r="C6" s="63">
        <v>1974</v>
      </c>
      <c r="D6" s="63">
        <v>1975</v>
      </c>
      <c r="E6" s="94">
        <v>1976</v>
      </c>
      <c r="F6" s="94">
        <v>1977</v>
      </c>
      <c r="G6" s="94">
        <v>1978</v>
      </c>
      <c r="H6" s="94">
        <v>1979</v>
      </c>
      <c r="I6" s="94">
        <v>1980</v>
      </c>
      <c r="J6" s="94">
        <v>1981</v>
      </c>
      <c r="K6" s="94">
        <v>1982</v>
      </c>
      <c r="L6" s="94">
        <v>1983</v>
      </c>
      <c r="M6" s="94">
        <v>1984</v>
      </c>
      <c r="N6" s="94">
        <v>1985</v>
      </c>
      <c r="O6" s="94">
        <v>1986</v>
      </c>
      <c r="P6" s="94">
        <v>1987</v>
      </c>
      <c r="Q6" s="94">
        <v>1988</v>
      </c>
      <c r="R6" s="94">
        <v>1989</v>
      </c>
      <c r="S6" s="94">
        <v>1990</v>
      </c>
      <c r="T6" s="94">
        <v>1991</v>
      </c>
      <c r="U6" s="94">
        <v>1992</v>
      </c>
      <c r="V6" s="94">
        <v>1993</v>
      </c>
      <c r="W6" s="94">
        <v>1994</v>
      </c>
      <c r="X6" s="94">
        <v>1995</v>
      </c>
      <c r="Y6" s="94">
        <v>1996</v>
      </c>
      <c r="Z6" s="94">
        <v>1997</v>
      </c>
      <c r="AA6" s="94">
        <v>1998</v>
      </c>
      <c r="AB6" s="94">
        <v>1999</v>
      </c>
      <c r="AC6" s="94">
        <v>2000</v>
      </c>
      <c r="AD6" s="94">
        <v>2001</v>
      </c>
      <c r="AE6" s="94">
        <v>2002</v>
      </c>
      <c r="AF6" s="94">
        <v>2003</v>
      </c>
      <c r="AG6" s="94">
        <v>2004</v>
      </c>
      <c r="AH6" s="94">
        <v>2005</v>
      </c>
      <c r="AI6" s="94">
        <v>2006</v>
      </c>
      <c r="AJ6" s="94">
        <v>2007</v>
      </c>
      <c r="AK6" s="94">
        <v>2008</v>
      </c>
      <c r="AL6" s="94">
        <v>2009</v>
      </c>
      <c r="AM6" s="94">
        <v>2010</v>
      </c>
      <c r="AN6" s="94">
        <v>2011</v>
      </c>
      <c r="AO6" s="94">
        <v>2012</v>
      </c>
      <c r="AP6" s="94">
        <v>2013</v>
      </c>
      <c r="AQ6" s="94">
        <v>2014</v>
      </c>
      <c r="AR6" s="94">
        <v>2015</v>
      </c>
      <c r="AS6" s="94">
        <v>2016</v>
      </c>
      <c r="AT6" s="94">
        <v>2017</v>
      </c>
      <c r="AU6" s="94">
        <v>2018</v>
      </c>
      <c r="AV6" s="94">
        <v>2019</v>
      </c>
      <c r="AW6" s="94">
        <v>2020</v>
      </c>
      <c r="AX6" s="95">
        <v>2021</v>
      </c>
    </row>
    <row r="7" spans="1:50" ht="15" thickBot="1" x14ac:dyDescent="0.35">
      <c r="A7" s="68" t="s">
        <v>26</v>
      </c>
      <c r="B7" s="190">
        <f>+B4*-1</f>
        <v>-604000</v>
      </c>
      <c r="C7" s="191">
        <v>0</v>
      </c>
      <c r="D7" s="191">
        <v>0</v>
      </c>
      <c r="E7" s="191">
        <v>0</v>
      </c>
      <c r="F7" s="191">
        <v>0</v>
      </c>
      <c r="G7" s="191">
        <v>0</v>
      </c>
      <c r="H7" s="191">
        <v>0</v>
      </c>
      <c r="I7" s="191">
        <v>0</v>
      </c>
      <c r="J7" s="210">
        <v>0</v>
      </c>
      <c r="K7" s="166">
        <v>0</v>
      </c>
      <c r="L7" s="166">
        <v>0</v>
      </c>
      <c r="M7" s="193">
        <v>0</v>
      </c>
      <c r="N7" s="193">
        <v>0</v>
      </c>
      <c r="O7" s="193">
        <v>0</v>
      </c>
      <c r="P7" s="193">
        <v>0</v>
      </c>
      <c r="Q7" s="193">
        <v>0</v>
      </c>
      <c r="R7" s="193">
        <v>0</v>
      </c>
      <c r="S7" s="193">
        <v>0</v>
      </c>
      <c r="T7" s="193">
        <v>0</v>
      </c>
      <c r="U7" s="193">
        <v>0</v>
      </c>
      <c r="V7" s="193">
        <v>0</v>
      </c>
      <c r="W7" s="193">
        <v>0</v>
      </c>
      <c r="X7" s="193">
        <v>0</v>
      </c>
      <c r="Y7" s="193">
        <v>0</v>
      </c>
      <c r="Z7" s="193">
        <v>0</v>
      </c>
      <c r="AA7" s="193">
        <v>0</v>
      </c>
      <c r="AB7" s="193">
        <v>0</v>
      </c>
      <c r="AC7" s="193">
        <v>0</v>
      </c>
      <c r="AD7" s="193">
        <v>0</v>
      </c>
      <c r="AE7" s="193">
        <v>0</v>
      </c>
      <c r="AF7" s="193">
        <v>0</v>
      </c>
      <c r="AG7" s="193">
        <v>0</v>
      </c>
      <c r="AH7" s="193">
        <v>0</v>
      </c>
      <c r="AI7" s="193">
        <v>0</v>
      </c>
      <c r="AJ7" s="193">
        <v>0</v>
      </c>
      <c r="AK7" s="193">
        <v>0</v>
      </c>
      <c r="AL7" s="193">
        <v>0</v>
      </c>
      <c r="AM7" s="193">
        <v>0</v>
      </c>
      <c r="AN7" s="193">
        <v>0</v>
      </c>
      <c r="AO7" s="193">
        <v>0</v>
      </c>
      <c r="AP7" s="193">
        <v>0</v>
      </c>
      <c r="AQ7" s="193">
        <v>0</v>
      </c>
      <c r="AR7" s="193">
        <v>0</v>
      </c>
      <c r="AS7" s="193">
        <v>0</v>
      </c>
      <c r="AT7" s="193">
        <v>0</v>
      </c>
      <c r="AU7" s="193">
        <v>0</v>
      </c>
      <c r="AV7" s="193">
        <v>0</v>
      </c>
      <c r="AW7" s="193">
        <v>0</v>
      </c>
      <c r="AX7" s="47">
        <f>+D4</f>
        <v>8094800</v>
      </c>
    </row>
    <row r="8" spans="1:50" ht="21" x14ac:dyDescent="0.4">
      <c r="A8" s="96" t="s">
        <v>22</v>
      </c>
      <c r="B8" s="97">
        <f>IRR(B7:AX7)</f>
        <v>5.555943341626679E-2</v>
      </c>
      <c r="C8" s="32"/>
      <c r="D8" s="43"/>
      <c r="E8" s="43"/>
      <c r="F8" s="43"/>
      <c r="G8" s="43"/>
      <c r="H8" s="43"/>
      <c r="I8" s="43"/>
      <c r="J8" s="43"/>
    </row>
    <row r="9" spans="1:50" ht="21.6" thickBot="1" x14ac:dyDescent="0.45">
      <c r="A9" s="98" t="s">
        <v>23</v>
      </c>
      <c r="B9" s="99">
        <f>+NPV(8.6%,B7:AX7)</f>
        <v>-414085.58920894325</v>
      </c>
    </row>
    <row r="10" spans="1:50" ht="15.6" x14ac:dyDescent="0.3">
      <c r="A10" s="92" t="s">
        <v>52</v>
      </c>
    </row>
    <row r="11" spans="1:50" ht="15" thickBot="1" x14ac:dyDescent="0.35"/>
    <row r="12" spans="1:50" ht="18.600000000000001" thickBot="1" x14ac:dyDescent="0.4">
      <c r="A12" s="124" t="s">
        <v>51</v>
      </c>
      <c r="B12" s="125"/>
      <c r="C12" s="125"/>
      <c r="D12" s="125"/>
      <c r="E12" s="125"/>
      <c r="F12" s="126"/>
    </row>
    <row r="13" spans="1:50" ht="43.8" thickBot="1" x14ac:dyDescent="0.35">
      <c r="B13" s="13" t="s">
        <v>1</v>
      </c>
      <c r="C13" s="231" t="s">
        <v>2</v>
      </c>
      <c r="D13" s="15" t="s">
        <v>9</v>
      </c>
      <c r="E13" s="67" t="s">
        <v>55</v>
      </c>
      <c r="F13" s="16" t="s">
        <v>56</v>
      </c>
    </row>
    <row r="14" spans="1:50" ht="15" thickBot="1" x14ac:dyDescent="0.35">
      <c r="A14" s="17" t="str">
        <f>+A3</f>
        <v>Predio El estuche Tapalpa</v>
      </c>
      <c r="B14" s="18">
        <f>+B3</f>
        <v>604000</v>
      </c>
      <c r="C14" s="158">
        <f>+M3</f>
        <v>1402566</v>
      </c>
      <c r="D14" s="31">
        <f>+D4</f>
        <v>8094800</v>
      </c>
      <c r="E14" s="71">
        <f>+D14/C14-1</f>
        <v>4.7714218083141899</v>
      </c>
      <c r="F14" s="61">
        <f>+D14/B14-1</f>
        <v>12.401986754966888</v>
      </c>
    </row>
    <row r="15" spans="1:50" ht="15" thickBot="1" x14ac:dyDescent="0.35">
      <c r="A15" s="45" t="s">
        <v>7</v>
      </c>
      <c r="B15" s="48">
        <f>+B14</f>
        <v>604000</v>
      </c>
      <c r="C15" s="232">
        <f>+C14</f>
        <v>1402566</v>
      </c>
      <c r="D15" s="46">
        <f>SUM(D14:D14)</f>
        <v>8094800</v>
      </c>
      <c r="E15" s="72">
        <f>+D15/C15-1</f>
        <v>4.7714218083141899</v>
      </c>
      <c r="F15" s="70">
        <f>+D15/B15-1</f>
        <v>12.401986754966888</v>
      </c>
    </row>
  </sheetData>
  <mergeCells count="2">
    <mergeCell ref="A1:L1"/>
    <mergeCell ref="A12:F1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11"/>
  <sheetViews>
    <sheetView workbookViewId="0">
      <selection sqref="A1:XFD1048576"/>
    </sheetView>
  </sheetViews>
  <sheetFormatPr baseColWidth="10" defaultRowHeight="14.4" x14ac:dyDescent="0.3"/>
  <cols>
    <col min="1" max="1" width="4.5546875" customWidth="1"/>
    <col min="2" max="2" width="15.6640625" bestFit="1" customWidth="1"/>
    <col min="3" max="3" width="7.21875" customWidth="1"/>
    <col min="4" max="4" width="6.33203125" customWidth="1"/>
    <col min="5" max="5" width="21.109375" customWidth="1"/>
    <col min="6" max="6" width="21.44140625" customWidth="1"/>
    <col min="7" max="7" width="9.44140625" customWidth="1"/>
    <col min="8" max="8" width="12.33203125" bestFit="1" customWidth="1"/>
    <col min="9" max="14" width="6.88671875" bestFit="1" customWidth="1"/>
    <col min="15" max="15" width="7" bestFit="1" customWidth="1"/>
    <col min="16" max="16" width="7" hidden="1" customWidth="1"/>
    <col min="17" max="17" width="8" hidden="1" customWidth="1"/>
    <col min="18" max="20" width="7" hidden="1" customWidth="1"/>
    <col min="21" max="22" width="8" hidden="1" customWidth="1"/>
    <col min="23" max="26" width="7" hidden="1" customWidth="1"/>
    <col min="27" max="28" width="6.88671875" hidden="1" customWidth="1"/>
    <col min="29" max="33" width="7" hidden="1" customWidth="1"/>
    <col min="34" max="54" width="6.88671875" hidden="1" customWidth="1"/>
    <col min="55" max="56" width="6.88671875" bestFit="1" customWidth="1"/>
    <col min="57" max="57" width="20.109375" customWidth="1"/>
  </cols>
  <sheetData>
    <row r="1" spans="1:57" ht="15" thickBot="1" x14ac:dyDescent="0.35">
      <c r="A1" s="130" t="s">
        <v>28</v>
      </c>
      <c r="B1" s="131"/>
      <c r="C1" s="131"/>
      <c r="D1" s="131"/>
      <c r="E1" s="131"/>
      <c r="F1" s="131"/>
      <c r="G1" s="215" t="s">
        <v>29</v>
      </c>
      <c r="H1" s="215"/>
      <c r="I1" s="215"/>
      <c r="J1" s="215"/>
      <c r="K1" s="215"/>
      <c r="L1" s="215"/>
      <c r="M1" s="215"/>
      <c r="N1" s="215"/>
      <c r="O1" s="215"/>
      <c r="P1" s="215"/>
      <c r="Q1" s="215"/>
      <c r="R1" s="215"/>
    </row>
    <row r="2" spans="1:57" ht="15" thickBot="1" x14ac:dyDescent="0.35">
      <c r="A2" s="73" t="s">
        <v>30</v>
      </c>
      <c r="B2" s="74" t="s">
        <v>31</v>
      </c>
      <c r="C2" s="74" t="s">
        <v>25</v>
      </c>
      <c r="D2" s="74" t="s">
        <v>12</v>
      </c>
      <c r="E2" s="74" t="s">
        <v>32</v>
      </c>
      <c r="F2" s="227" t="s">
        <v>33</v>
      </c>
      <c r="G2" s="75">
        <v>1973</v>
      </c>
      <c r="H2" s="75">
        <v>1974</v>
      </c>
      <c r="I2" s="75">
        <v>1975</v>
      </c>
      <c r="J2" s="75">
        <v>1976</v>
      </c>
      <c r="K2" s="75">
        <v>1977</v>
      </c>
      <c r="L2" s="75">
        <v>1978</v>
      </c>
      <c r="M2" s="75">
        <v>1979</v>
      </c>
      <c r="N2" s="75">
        <v>1980</v>
      </c>
      <c r="O2" s="75">
        <v>1981</v>
      </c>
      <c r="P2" s="75">
        <v>1982</v>
      </c>
      <c r="Q2" s="75">
        <v>1983</v>
      </c>
      <c r="R2" s="75">
        <v>1984</v>
      </c>
      <c r="S2" s="75">
        <v>1985</v>
      </c>
      <c r="T2" s="75">
        <v>1986</v>
      </c>
      <c r="U2" s="75">
        <v>1987</v>
      </c>
      <c r="V2" s="75">
        <v>1988</v>
      </c>
      <c r="W2" s="75">
        <v>1989</v>
      </c>
      <c r="X2" s="75">
        <v>1990</v>
      </c>
      <c r="Y2" s="75">
        <v>1991</v>
      </c>
      <c r="Z2" s="75">
        <v>1992</v>
      </c>
      <c r="AA2" s="75">
        <v>1993</v>
      </c>
      <c r="AB2" s="75">
        <v>1994</v>
      </c>
      <c r="AC2" s="75">
        <v>1995</v>
      </c>
      <c r="AD2" s="75">
        <v>1996</v>
      </c>
      <c r="AE2" s="75">
        <v>1997</v>
      </c>
      <c r="AF2" s="75">
        <v>1998</v>
      </c>
      <c r="AG2" s="75">
        <v>1999</v>
      </c>
      <c r="AH2" s="75">
        <v>2000</v>
      </c>
      <c r="AI2" s="75">
        <v>2001</v>
      </c>
      <c r="AJ2" s="75">
        <v>2002</v>
      </c>
      <c r="AK2" s="75">
        <v>2003</v>
      </c>
      <c r="AL2" s="75">
        <v>2004</v>
      </c>
      <c r="AM2" s="75">
        <v>2005</v>
      </c>
      <c r="AN2" s="75">
        <v>2006</v>
      </c>
      <c r="AO2" s="75">
        <v>2007</v>
      </c>
      <c r="AP2" s="75">
        <v>2008</v>
      </c>
      <c r="AQ2" s="75">
        <v>2009</v>
      </c>
      <c r="AR2" s="75">
        <v>2010</v>
      </c>
      <c r="AS2" s="75">
        <v>2011</v>
      </c>
      <c r="AT2" s="75">
        <v>2012</v>
      </c>
      <c r="AU2" s="75">
        <f>AT2+1</f>
        <v>2013</v>
      </c>
      <c r="AV2" s="75">
        <f t="shared" ref="AV2:BC2" si="0">AU2+1</f>
        <v>2014</v>
      </c>
      <c r="AW2" s="75">
        <f t="shared" si="0"/>
        <v>2015</v>
      </c>
      <c r="AX2" s="75">
        <f t="shared" si="0"/>
        <v>2016</v>
      </c>
      <c r="AY2" s="75">
        <f t="shared" si="0"/>
        <v>2017</v>
      </c>
      <c r="AZ2" s="75">
        <f t="shared" si="0"/>
        <v>2018</v>
      </c>
      <c r="BA2" s="75">
        <f>AZ2+1</f>
        <v>2019</v>
      </c>
      <c r="BB2" s="75">
        <f t="shared" si="0"/>
        <v>2020</v>
      </c>
      <c r="BC2" s="75">
        <f t="shared" si="0"/>
        <v>2021</v>
      </c>
      <c r="BD2" s="75">
        <v>2022</v>
      </c>
      <c r="BE2" s="76" t="s">
        <v>34</v>
      </c>
    </row>
    <row r="3" spans="1:57" x14ac:dyDescent="0.3">
      <c r="A3" s="77">
        <v>1</v>
      </c>
      <c r="B3" s="78">
        <f>+Antecedentes!H3</f>
        <v>26885</v>
      </c>
      <c r="C3" s="79">
        <f>YEAR(B3)</f>
        <v>1973</v>
      </c>
      <c r="D3" s="79">
        <v>143</v>
      </c>
      <c r="E3" s="41">
        <f>+Antecedentes!B3</f>
        <v>604000</v>
      </c>
      <c r="F3" s="80">
        <f>E3</f>
        <v>604000</v>
      </c>
      <c r="G3" s="214">
        <f>+(E3/millones)*(((tasareal+G5)/360)*D3)</f>
        <v>3.6016324259259262E-2</v>
      </c>
      <c r="H3" s="41">
        <f>+(tasareal+H5)*(($E$3/millones)+G3)</f>
        <v>0.17187105041045525</v>
      </c>
      <c r="I3" s="41">
        <f>+(tasareal+I5)*(($E$3/millones)+H3)</f>
        <v>0.13985075683648454</v>
      </c>
      <c r="J3" s="41">
        <f>+(tasareal+J5)*(($E$3/millones)+I3)</f>
        <v>0.13919307287302715</v>
      </c>
      <c r="K3" s="41">
        <f>+(tasareal+K5)*(($E$3/millones)+J3)</f>
        <v>0.24005136253798773</v>
      </c>
      <c r="L3" s="41">
        <f>+(tasareal+L5)*(($E$3/millones)+K3)</f>
        <v>0.17300239427486955</v>
      </c>
      <c r="M3" s="41">
        <f>+(tasareal+M5)*(($E$3/millones)+L3)</f>
        <v>0.16451083192784674</v>
      </c>
      <c r="N3" s="41">
        <f>+(tasareal+N5)*(($E$3/millones)+M3)</f>
        <v>0.22469335448490416</v>
      </c>
      <c r="O3" s="41">
        <f>+(tasareal+O5)*(($E$3/millones)+N3)</f>
        <v>0.25632866609808896</v>
      </c>
      <c r="P3" s="41">
        <f>+(tasareal+P5)*(($E$3/millones)+O3)</f>
        <v>0.52042714893383557</v>
      </c>
      <c r="Q3" s="41">
        <f>+(tasareal+Q5)*(($E$3/millones)+P3)</f>
        <v>1.2047955794038816</v>
      </c>
      <c r="R3" s="41">
        <f>+(tasareal+R5)*(($E$3/millones)+Q3)</f>
        <v>1.2509328761227345</v>
      </c>
      <c r="S3" s="41">
        <f>+(tasareal+S5)*(($E$3/millones)+R3)</f>
        <v>1.1255887270052432</v>
      </c>
      <c r="T3" s="41">
        <f>+(tasareal+T5)*(($E$3/millones)+S3)</f>
        <v>1.512943325708445</v>
      </c>
      <c r="U3" s="41">
        <f>+(tasareal+U5)*(($E$3/millones)+T3)</f>
        <v>2.7920718346656304</v>
      </c>
      <c r="V3" s="41">
        <f>+(tasareal+V5)*(($E$3/millones)+U3)</f>
        <v>4.361575057261069</v>
      </c>
      <c r="W3" s="41">
        <f>+(tasareal+W5)*(($E$3/millones)+V3)</f>
        <v>1.1578893437689937</v>
      </c>
      <c r="X3" s="41">
        <f>+(tasareal+X5)*(($E$3/millones)+W3)</f>
        <v>0.52053552420535099</v>
      </c>
      <c r="Y3" s="41">
        <f>+(tasareal+Y5)*(($E$3/millones)+X3)</f>
        <v>0.29057997945466263</v>
      </c>
      <c r="Z3" s="41">
        <f>+(tasareal+Z5)*(($E$3/millones)+Y3)</f>
        <v>0.16616823118370358</v>
      </c>
      <c r="AA3" s="41">
        <f>+(tasareal+AA5)*(($E$3/millones)+Z3)</f>
        <v>9.8388991533718134E-2</v>
      </c>
      <c r="AB3" s="41">
        <f>+(tasareal+AB5)*(($E$3/millones)+AA3)</f>
        <v>7.0022329214315587E-2</v>
      </c>
      <c r="AC3" s="41">
        <f>+(tasareal+AC5)*(($E$3/millones)+AB3)</f>
        <v>0.25460070115522082</v>
      </c>
      <c r="AD3" s="41">
        <f>+(tasareal+AD5)*(($E$3/millones)+AC3)</f>
        <v>0.32846485323277269</v>
      </c>
      <c r="AE3" s="41">
        <f>+(tasareal+AE5)*(($E$3/millones)+AD3)</f>
        <v>0.22209758695915918</v>
      </c>
      <c r="AF3" s="41">
        <f>+(tasareal+AF5)*(($E$3/millones)+AE3)</f>
        <v>0.15611179149560708</v>
      </c>
      <c r="AG3" s="41">
        <f>+(tasareal+AG5)*(($E$3/millones)+AF3)</f>
        <v>0.14952032365211501</v>
      </c>
      <c r="AH3" s="41">
        <f>+(tasareal+AH5)*(($E$3/millones)+AG3)</f>
        <v>9.4240275144757843E-2</v>
      </c>
      <c r="AI3" s="41">
        <f>+(tasareal+AI5)*(($E$3/millones)+AH3)</f>
        <v>6.5535668491295065E-2</v>
      </c>
      <c r="AJ3" s="41">
        <f>+(tasareal+AJ5)*(($E$3/millones)+AI3)</f>
        <v>5.3752555252042804E-2</v>
      </c>
      <c r="AK3" s="41">
        <f>+(tasareal+AK5)*(($E$3/millones)+AJ3)</f>
        <v>4.9698686820585605E-2</v>
      </c>
      <c r="AL3" s="41">
        <f>+(tasareal+AL5)*(($E$3/millones)+AK3)</f>
        <v>5.0236744082162006E-2</v>
      </c>
      <c r="AM3" s="41">
        <f>+(tasareal+AM5)*(($E$3/millones)+AL3)</f>
        <v>4.5769312221414574E-2</v>
      </c>
      <c r="AN3" s="41">
        <f>+(tasareal+AN5)*(($E$3/millones)+AM3)</f>
        <v>4.3063461167474247E-2</v>
      </c>
      <c r="AO3" s="41">
        <f>+(tasareal+AO5)*(($E$3/millones)+AN3)</f>
        <v>4.5084146656843758E-2</v>
      </c>
      <c r="AP3" s="41">
        <f>+(tasareal+AP5)*(($E$3/millones)+AO3)</f>
        <v>5.2683996570313821E-2</v>
      </c>
      <c r="AQ3" s="41">
        <f>+(tasareal+AQ5)*(($E$3/millones)+AP3)</f>
        <v>5.4586857214907331E-2</v>
      </c>
      <c r="AR3" s="41">
        <f>+(tasareal+AR5)*(($E$3/millones)+AQ3)</f>
        <v>4.7143842528967111E-2</v>
      </c>
      <c r="AS3" s="41">
        <f>+(tasareal+AS5)*(($E$3/millones)+AR3)</f>
        <v>4.172204171004356E-2</v>
      </c>
      <c r="AT3" s="41">
        <f>+(tasareal+AT5)*(($E$3/millones)+AS3)</f>
        <v>4.2423938140349865E-2</v>
      </c>
      <c r="AU3" s="41">
        <f>+(tasareal+AU5)*(($E$3/millones)+AT3)</f>
        <v>4.5055748488382383E-2</v>
      </c>
      <c r="AV3" s="41">
        <f>+(tasareal+AV5)*(($E$3/millones)+AU3)</f>
        <v>4.5953146992977471E-2</v>
      </c>
      <c r="AW3" s="41">
        <f>+(tasareal+AW5)*(($E$3/millones)+AV3)</f>
        <v>3.3342596440739745E-2</v>
      </c>
      <c r="AX3" s="41">
        <f>+(tasareal+AX5)*(($E$3/millones)+AW3)</f>
        <v>4.0534989133631044E-2</v>
      </c>
      <c r="AY3" s="41">
        <f>+(tasareal+AY5)*(($E$3/millones)+AX3)</f>
        <v>6.2971068438355746E-2</v>
      </c>
      <c r="AZ3" s="41">
        <f>+(tasareal+AZ5)*(($E$3/millones)+AY3)</f>
        <v>5.222383465872326E-2</v>
      </c>
      <c r="BA3" s="41">
        <f>+(tasareal+BA5)*(($E$3/millones)+AZ3)</f>
        <v>3.8257849560603567E-2</v>
      </c>
      <c r="BB3" s="41">
        <f>+(tasareal+BB5)*(($E$3/millones)+BA3)</f>
        <v>3.9498857747977116E-2</v>
      </c>
      <c r="BC3" s="41">
        <f>+(tasareal+BC5)*(($E$3/millones)+BB3)</f>
        <v>5.5340901766326028E-2</v>
      </c>
      <c r="BD3" s="41">
        <f>+(tasareal+BD5)*(($E$3/millones)+BC3)</f>
        <v>4.4175840418343847E-2</v>
      </c>
      <c r="BE3" s="80">
        <f>(SUM(G3:BD3)*millones)+E3</f>
        <v>19475528.378306605</v>
      </c>
    </row>
    <row r="4" spans="1:57" ht="15" thickBot="1" x14ac:dyDescent="0.35">
      <c r="A4" s="81"/>
      <c r="B4" s="82"/>
      <c r="C4" s="83"/>
      <c r="D4" s="83"/>
      <c r="E4" s="7"/>
      <c r="F4" s="8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80"/>
    </row>
    <row r="5" spans="1:57" ht="18.600000000000001" thickBot="1" x14ac:dyDescent="0.4">
      <c r="A5" s="85"/>
      <c r="B5" s="78"/>
      <c r="C5" s="79"/>
      <c r="D5" s="79"/>
      <c r="E5" s="41"/>
      <c r="F5" s="226" t="s">
        <v>24</v>
      </c>
      <c r="G5" s="217">
        <v>0.12011666666666669</v>
      </c>
      <c r="H5" s="218">
        <v>0.23854166666666668</v>
      </c>
      <c r="I5" s="219">
        <v>0.15024999999999999</v>
      </c>
      <c r="J5" s="220">
        <v>0.15712499999999999</v>
      </c>
      <c r="K5" s="220">
        <v>0.29299999999999998</v>
      </c>
      <c r="L5" s="220">
        <v>0.17496666666666666</v>
      </c>
      <c r="M5" s="220">
        <v>0.181725</v>
      </c>
      <c r="N5" s="220">
        <v>0.26237499999999997</v>
      </c>
      <c r="O5" s="220">
        <v>0.27931666666666671</v>
      </c>
      <c r="P5" s="220">
        <v>0.57491666666666663</v>
      </c>
      <c r="Q5" s="220">
        <v>1.0414750000000002</v>
      </c>
      <c r="R5" s="220">
        <v>0.6615833333333333</v>
      </c>
      <c r="S5" s="220">
        <v>0.57680833333333337</v>
      </c>
      <c r="T5" s="220">
        <v>0.84474166666666672</v>
      </c>
      <c r="U5" s="220">
        <v>1.2889166666666667</v>
      </c>
      <c r="V5" s="220">
        <v>1.2543</v>
      </c>
      <c r="W5" s="220">
        <v>0.20318333333333333</v>
      </c>
      <c r="X5" s="220">
        <v>0.26544166666666663</v>
      </c>
      <c r="Y5" s="220">
        <v>0.22839999999999999</v>
      </c>
      <c r="Z5" s="220">
        <v>0.15575</v>
      </c>
      <c r="AA5" s="220">
        <v>9.7750000000000004E-2</v>
      </c>
      <c r="AB5" s="220">
        <v>6.9691666666666666E-2</v>
      </c>
      <c r="AC5" s="220">
        <v>0.34773333333333334</v>
      </c>
      <c r="AD5" s="220">
        <v>0.35255833333333336</v>
      </c>
      <c r="AE5" s="220">
        <v>0.2081833333333333</v>
      </c>
      <c r="AF5" s="220">
        <v>0.15897499999999998</v>
      </c>
      <c r="AG5" s="220">
        <v>0.16670833333333332</v>
      </c>
      <c r="AH5" s="220">
        <v>9.506666666666666E-2</v>
      </c>
      <c r="AI5" s="220">
        <v>6.3858333333333336E-2</v>
      </c>
      <c r="AJ5" s="220">
        <v>5.0283333333333333E-2</v>
      </c>
      <c r="AK5" s="220">
        <v>4.5558333333333333E-2</v>
      </c>
      <c r="AL5" s="220">
        <v>4.6849999999999996E-2</v>
      </c>
      <c r="AM5" s="220">
        <v>3.9958333333333325E-2</v>
      </c>
      <c r="AN5" s="220">
        <v>3.6275000000000002E-2</v>
      </c>
      <c r="AO5" s="220">
        <v>3.9674999999999995E-2</v>
      </c>
      <c r="AP5" s="220">
        <v>5.1166666666666673E-2</v>
      </c>
      <c r="AQ5" s="220">
        <v>5.3124999999999992E-2</v>
      </c>
      <c r="AR5" s="220">
        <v>4.158333333333334E-2</v>
      </c>
      <c r="AS5" s="218">
        <v>3.4075000000000001E-2</v>
      </c>
      <c r="AT5" s="218">
        <v>3.5700000000000003E-2</v>
      </c>
      <c r="AU5" s="218">
        <v>3.9699999999999999E-2</v>
      </c>
      <c r="AV5" s="218">
        <v>4.0800000000000003E-2</v>
      </c>
      <c r="AW5" s="218">
        <v>2.1299999999999999E-2</v>
      </c>
      <c r="AX5" s="218">
        <v>3.3599999999999998E-2</v>
      </c>
      <c r="AY5" s="218">
        <v>6.7699999999999996E-2</v>
      </c>
      <c r="AZ5" s="218">
        <v>4.8300000000000003E-2</v>
      </c>
      <c r="BA5" s="218">
        <v>2.8299999999999999E-2</v>
      </c>
      <c r="BB5" s="218">
        <v>3.15E-2</v>
      </c>
      <c r="BC5" s="221">
        <v>5.5999999999999994E-2</v>
      </c>
      <c r="BD5" s="222">
        <v>3.7000000000000005E-2</v>
      </c>
      <c r="BE5" s="228">
        <f>SUM(BE3:BE4)</f>
        <v>19475528.378306605</v>
      </c>
    </row>
    <row r="6" spans="1:57" x14ac:dyDescent="0.3">
      <c r="A6" s="85"/>
      <c r="B6" s="78"/>
      <c r="C6" s="79"/>
      <c r="D6" s="79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BC6" s="223" t="s">
        <v>35</v>
      </c>
      <c r="BD6" s="223" t="s">
        <v>35</v>
      </c>
    </row>
    <row r="7" spans="1:57" ht="15.6" x14ac:dyDescent="0.3">
      <c r="A7" s="85"/>
      <c r="B7" s="78"/>
      <c r="C7" s="79"/>
      <c r="D7" s="84"/>
      <c r="E7" s="41"/>
      <c r="F7" s="41"/>
      <c r="G7" s="87" t="s">
        <v>37</v>
      </c>
      <c r="H7" s="132">
        <v>1000000</v>
      </c>
      <c r="I7" s="132"/>
      <c r="J7" s="41"/>
      <c r="K7" s="41"/>
      <c r="L7" s="41"/>
      <c r="M7" s="41"/>
      <c r="N7" s="41"/>
      <c r="O7" s="41"/>
      <c r="P7" s="41"/>
      <c r="Q7" s="41"/>
      <c r="R7" s="41"/>
      <c r="AT7" s="224" t="s">
        <v>36</v>
      </c>
    </row>
    <row r="8" spans="1:57" ht="15.6" x14ac:dyDescent="0.3">
      <c r="A8" s="85"/>
      <c r="B8" s="78"/>
      <c r="C8" s="79"/>
      <c r="D8" s="79"/>
      <c r="E8" s="41"/>
      <c r="F8" s="41"/>
      <c r="G8" s="88" t="s">
        <v>38</v>
      </c>
      <c r="H8" s="133">
        <v>0.03</v>
      </c>
      <c r="I8" s="133"/>
      <c r="J8" s="41"/>
      <c r="K8" s="41"/>
      <c r="L8" s="41"/>
      <c r="M8" s="41"/>
      <c r="N8" s="41"/>
      <c r="O8" s="41"/>
      <c r="P8" s="41"/>
      <c r="Q8" s="41"/>
      <c r="R8" s="41"/>
    </row>
    <row r="9" spans="1:57" x14ac:dyDescent="0.3">
      <c r="A9" s="85"/>
      <c r="B9" s="78"/>
      <c r="C9" s="79"/>
      <c r="D9" s="79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</row>
    <row r="10" spans="1:57" ht="15.6" x14ac:dyDescent="0.3">
      <c r="G10" s="225"/>
      <c r="H10" s="216"/>
      <c r="I10" s="86"/>
    </row>
    <row r="11" spans="1:57" ht="15.6" x14ac:dyDescent="0.3">
      <c r="G11" s="225"/>
      <c r="H11" s="216"/>
      <c r="I11" s="86"/>
    </row>
  </sheetData>
  <mergeCells count="4">
    <mergeCell ref="A1:F1"/>
    <mergeCell ref="G1:R1"/>
    <mergeCell ref="H7:I7"/>
    <mergeCell ref="H8:I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workbookViewId="0">
      <selection sqref="A1:C1"/>
    </sheetView>
  </sheetViews>
  <sheetFormatPr baseColWidth="10" defaultColWidth="50.88671875" defaultRowHeight="14.4" x14ac:dyDescent="0.3"/>
  <cols>
    <col min="1" max="1" width="69.5546875" customWidth="1"/>
    <col min="2" max="2" width="20.88671875" customWidth="1"/>
    <col min="3" max="3" width="21.44140625" customWidth="1"/>
    <col min="4" max="4" width="16.33203125" bestFit="1" customWidth="1"/>
    <col min="5" max="5" width="13.77734375" customWidth="1"/>
    <col min="6" max="6" width="19.21875" customWidth="1"/>
  </cols>
  <sheetData>
    <row r="1" spans="1:6" ht="18.600000000000001" thickBot="1" x14ac:dyDescent="0.4">
      <c r="A1" s="134" t="s">
        <v>39</v>
      </c>
      <c r="B1" s="135"/>
      <c r="C1" s="136"/>
      <c r="D1" s="43"/>
    </row>
    <row r="2" spans="1:6" x14ac:dyDescent="0.3">
      <c r="A2" s="112" t="s">
        <v>50</v>
      </c>
      <c r="B2" s="137">
        <f>+Antecedentes!B4</f>
        <v>604000</v>
      </c>
      <c r="C2" s="138"/>
      <c r="D2" s="43"/>
    </row>
    <row r="3" spans="1:6" ht="15" thickBot="1" x14ac:dyDescent="0.35">
      <c r="A3" s="113" t="s">
        <v>94</v>
      </c>
      <c r="B3" s="139">
        <f>+'Rendi. en Flujos de Inversión'!BE5</f>
        <v>19475528.378306605</v>
      </c>
      <c r="C3" s="140"/>
    </row>
    <row r="4" spans="1:6" ht="18.600000000000001" thickBot="1" x14ac:dyDescent="0.35">
      <c r="A4" s="4"/>
      <c r="B4" s="123" t="s">
        <v>65</v>
      </c>
      <c r="C4" s="123" t="s">
        <v>47</v>
      </c>
      <c r="E4" s="43"/>
    </row>
    <row r="5" spans="1:6" x14ac:dyDescent="0.3">
      <c r="A5" s="114" t="s">
        <v>46</v>
      </c>
      <c r="B5" s="115">
        <f>+'Análisis Pago contado'!D4</f>
        <v>7204800</v>
      </c>
      <c r="C5" s="115">
        <f>+'Análisis Pago Fraccionando'!D4</f>
        <v>8094800</v>
      </c>
      <c r="E5" s="43"/>
    </row>
    <row r="6" spans="1:6" x14ac:dyDescent="0.3">
      <c r="A6" s="116" t="s">
        <v>22</v>
      </c>
      <c r="B6" s="117">
        <f>+'Análisis Pago contado'!B8</f>
        <v>5.3001170592763769E-2</v>
      </c>
      <c r="C6" s="117">
        <f>+'Análisis Pago Fraccionando'!B8</f>
        <v>5.555943341626679E-2</v>
      </c>
      <c r="E6" s="43"/>
    </row>
    <row r="7" spans="1:6" x14ac:dyDescent="0.3">
      <c r="A7" s="118" t="s">
        <v>23</v>
      </c>
      <c r="B7" s="119">
        <f>+'Análisis Pago contado'!B9</f>
        <v>-429707.29913394566</v>
      </c>
      <c r="C7" s="119">
        <f>+'Análisis Pago Fraccionando'!B9</f>
        <v>-414085.58920894325</v>
      </c>
      <c r="E7" s="43"/>
    </row>
    <row r="8" spans="1:6" x14ac:dyDescent="0.3">
      <c r="A8" s="116" t="s">
        <v>48</v>
      </c>
      <c r="B8" s="229">
        <f>+'Análisis Pago contado'!D16-'Análisis Pago contado'!C16</f>
        <v>5802234</v>
      </c>
      <c r="C8" s="120">
        <f>+'Análisis Pago Fraccionando'!D15-'Análisis Pago Fraccionando'!C15</f>
        <v>6692234</v>
      </c>
      <c r="E8" s="43"/>
    </row>
    <row r="9" spans="1:6" ht="15" thickBot="1" x14ac:dyDescent="0.35">
      <c r="A9" s="121" t="s">
        <v>49</v>
      </c>
      <c r="B9" s="230">
        <f>+'Análisis Pago contado'!E16</f>
        <v>4.1368705643798585</v>
      </c>
      <c r="C9" s="122">
        <f>+'Análisis Pago Fraccionando'!E15</f>
        <v>4.7714218083141899</v>
      </c>
      <c r="D9" s="43"/>
      <c r="E9" s="43"/>
    </row>
    <row r="10" spans="1:6" ht="15.6" x14ac:dyDescent="0.3">
      <c r="A10" s="86"/>
      <c r="B10" s="43"/>
      <c r="C10" s="43"/>
      <c r="D10" s="43"/>
      <c r="E10" s="43"/>
    </row>
    <row r="11" spans="1:6" x14ac:dyDescent="0.3">
      <c r="A11" s="10" t="s">
        <v>40</v>
      </c>
    </row>
    <row r="12" spans="1:6" x14ac:dyDescent="0.3">
      <c r="A12" s="89" t="s">
        <v>41</v>
      </c>
    </row>
    <row r="14" spans="1:6" x14ac:dyDescent="0.3">
      <c r="A14" s="90" t="s">
        <v>42</v>
      </c>
      <c r="B14" s="91"/>
      <c r="C14" s="91"/>
      <c r="D14" s="110"/>
      <c r="E14" s="110"/>
      <c r="F14" s="110"/>
    </row>
    <row r="15" spans="1:6" x14ac:dyDescent="0.3">
      <c r="A15" s="91" t="s">
        <v>43</v>
      </c>
      <c r="B15" s="91"/>
      <c r="C15" s="91"/>
      <c r="D15" s="110"/>
      <c r="E15" s="110"/>
      <c r="F15" s="110"/>
    </row>
    <row r="16" spans="1:6" x14ac:dyDescent="0.3">
      <c r="A16" s="91" t="s">
        <v>44</v>
      </c>
      <c r="B16" s="91"/>
      <c r="C16" s="91"/>
      <c r="D16" s="110"/>
      <c r="E16" s="110"/>
      <c r="F16" s="110"/>
    </row>
    <row r="17" spans="1:6" x14ac:dyDescent="0.3">
      <c r="A17" s="91" t="s">
        <v>45</v>
      </c>
      <c r="B17" s="91"/>
      <c r="C17" s="91"/>
      <c r="D17" s="110"/>
      <c r="E17" s="110"/>
      <c r="F17" s="110"/>
    </row>
  </sheetData>
  <mergeCells count="3">
    <mergeCell ref="A1:C1"/>
    <mergeCell ref="B2:C2"/>
    <mergeCell ref="B3:C3"/>
  </mergeCells>
  <hyperlinks>
    <hyperlink ref="A12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2</vt:i4>
      </vt:variant>
    </vt:vector>
  </HeadingPairs>
  <TitlesOfParts>
    <vt:vector size="9" baseType="lpstr">
      <vt:lpstr>Antecedentes</vt:lpstr>
      <vt:lpstr>Propuestas</vt:lpstr>
      <vt:lpstr>Comparativa de Propuestas</vt:lpstr>
      <vt:lpstr>Análisis Pago contado</vt:lpstr>
      <vt:lpstr>Análisis Pago Fraccionando</vt:lpstr>
      <vt:lpstr>Rendi. en Flujos de Inversión</vt:lpstr>
      <vt:lpstr>Concentrado</vt:lpstr>
      <vt:lpstr>millones</vt:lpstr>
      <vt:lpstr>tasareal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Galvan Godoy, Camilo</dc:creator>
  <cp:lastModifiedBy>Galvan Godoy, Camilo</cp:lastModifiedBy>
  <dcterms:created xsi:type="dcterms:W3CDTF">2021-07-16T14:07:50Z</dcterms:created>
  <dcterms:modified xsi:type="dcterms:W3CDTF">2021-07-21T20:45:54Z</dcterms:modified>
</cp:coreProperties>
</file>